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cilien\Desktop\td\descartes\td5_wind\"/>
    </mc:Choice>
  </mc:AlternateContent>
  <bookViews>
    <workbookView xWindow="0" yWindow="0" windowWidth="24000" windowHeight="9630" activeTab="1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D34" i="2" l="1"/>
  <c r="I14" i="2" l="1"/>
  <c r="J14" i="2"/>
  <c r="T56" i="2"/>
  <c r="S55" i="2"/>
  <c r="S53" i="2"/>
  <c r="R53" i="2"/>
  <c r="T53" i="2"/>
  <c r="R49" i="2"/>
  <c r="R45" i="2"/>
  <c r="T45" i="2"/>
  <c r="S49" i="2"/>
  <c r="S48" i="2"/>
  <c r="S47" i="2"/>
  <c r="S45" i="2"/>
  <c r="P56" i="2"/>
  <c r="L56" i="2"/>
  <c r="N55" i="2"/>
  <c r="O55" i="2" s="1"/>
  <c r="P53" i="2"/>
  <c r="P55" i="2" s="1"/>
  <c r="P51" i="2"/>
  <c r="O51" i="2" s="1"/>
  <c r="N51" i="2"/>
  <c r="N53" i="2"/>
  <c r="K55" i="2"/>
  <c r="L53" i="2"/>
  <c r="L55" i="2" s="1"/>
  <c r="L51" i="2"/>
  <c r="K51" i="2"/>
  <c r="H55" i="2"/>
  <c r="H56" i="2" s="1"/>
  <c r="H53" i="2"/>
  <c r="J55" i="2"/>
  <c r="J53" i="2"/>
  <c r="J51" i="2"/>
  <c r="G55" i="2" l="1"/>
  <c r="R55" i="2"/>
  <c r="T49" i="2"/>
  <c r="R51" i="2"/>
  <c r="R47" i="2"/>
  <c r="N47" i="2"/>
  <c r="N48" i="2" s="1"/>
  <c r="O49" i="2"/>
  <c r="P49" i="2" s="1"/>
  <c r="K49" i="2"/>
  <c r="L49" i="2" s="1"/>
  <c r="L12" i="2"/>
  <c r="P45" i="2"/>
  <c r="O45" i="2"/>
  <c r="K45" i="2"/>
  <c r="L45" i="2" s="1"/>
  <c r="H45" i="2"/>
  <c r="F47" i="2" s="1"/>
  <c r="F48" i="2" s="1"/>
  <c r="G49" i="2"/>
  <c r="H49" i="2" s="1"/>
  <c r="M27" i="2"/>
  <c r="P38" i="2"/>
  <c r="L38" i="2"/>
  <c r="H38" i="2"/>
  <c r="I27" i="2"/>
  <c r="M32" i="2"/>
  <c r="Q27" i="2"/>
  <c r="I28" i="2"/>
  <c r="I32" i="2" s="1"/>
  <c r="M28" i="2"/>
  <c r="Q28" i="2"/>
  <c r="I29" i="2"/>
  <c r="M29" i="2"/>
  <c r="Q29" i="2"/>
  <c r="I30" i="2"/>
  <c r="M30" i="2"/>
  <c r="Q30" i="2"/>
  <c r="Q32" i="2" s="1"/>
  <c r="I31" i="2"/>
  <c r="M31" i="2"/>
  <c r="Q31" i="2"/>
  <c r="H34" i="2"/>
  <c r="L34" i="2" s="1"/>
  <c r="I34" i="2"/>
  <c r="H35" i="2"/>
  <c r="I35" i="2"/>
  <c r="L35" i="2"/>
  <c r="P35" i="2" s="1"/>
  <c r="Q35" i="2" s="1"/>
  <c r="M35" i="2"/>
  <c r="G15" i="2"/>
  <c r="H15" i="2"/>
  <c r="K15" i="2"/>
  <c r="F15" i="2"/>
  <c r="R48" i="2" l="1"/>
  <c r="T48" i="2" s="1"/>
  <c r="T47" i="2"/>
  <c r="T51" i="2" s="1"/>
  <c r="J47" i="2"/>
  <c r="J48" i="2"/>
  <c r="M38" i="2"/>
  <c r="M34" i="2"/>
  <c r="P34" i="2"/>
  <c r="Q34" i="2" s="1"/>
  <c r="S32" i="2"/>
  <c r="I38" i="2"/>
  <c r="Q38" i="2"/>
  <c r="S38" i="2" s="1"/>
  <c r="J22" i="2"/>
  <c r="I21" i="2"/>
  <c r="E21" i="2"/>
  <c r="G12" i="2"/>
  <c r="H12" i="2"/>
  <c r="I12" i="2"/>
  <c r="J12" i="2"/>
  <c r="K12" i="2"/>
  <c r="F12" i="2"/>
  <c r="F9" i="2"/>
  <c r="E12" i="2"/>
  <c r="D12" i="2"/>
  <c r="D22" i="1"/>
  <c r="C22" i="1"/>
  <c r="D15" i="1"/>
  <c r="D19" i="1"/>
  <c r="F18" i="1"/>
  <c r="D18" i="1"/>
  <c r="F17" i="1"/>
  <c r="E17" i="1"/>
  <c r="D14" i="1"/>
  <c r="F13" i="1"/>
  <c r="E13" i="1"/>
  <c r="L8" i="2"/>
  <c r="S51" i="2" l="1"/>
  <c r="T55" i="2"/>
  <c r="I15" i="2"/>
  <c r="G47" i="2" s="1"/>
  <c r="J15" i="2"/>
  <c r="G48" i="2" s="1"/>
  <c r="H185" i="1"/>
  <c r="K182" i="1"/>
  <c r="K48" i="2" l="1"/>
  <c r="H48" i="2"/>
  <c r="K47" i="2"/>
  <c r="H47" i="2"/>
  <c r="G51" i="2" s="1"/>
  <c r="L48" i="2" l="1"/>
  <c r="O48" i="2"/>
  <c r="P48" i="2" s="1"/>
  <c r="L47" i="2"/>
  <c r="O47" i="2"/>
  <c r="P47" i="2" s="1"/>
</calcChain>
</file>

<file path=xl/sharedStrings.xml><?xml version="1.0" encoding="utf-8"?>
<sst xmlns="http://schemas.openxmlformats.org/spreadsheetml/2006/main" count="106" uniqueCount="70">
  <si>
    <t>21702998        AGYEI ACHEAMPONG        LILIANE SHEILA  6       vendredi 14h-16h</t>
  </si>
  <si>
    <t>21702998        AGYEI ACHEAMPONG        LILIANE SHEILA  9       samedi 11-13</t>
  </si>
  <si>
    <t>21701565        BEN SAID        DEBORA  6       vendredi 14h-16h</t>
  </si>
  <si>
    <t>21701565        BEN SAID        DEBORA  9       samedi 11-13</t>
  </si>
  <si>
    <t>21809706        BENBAHMED       LAMINE  7       vendredi 16h-18h</t>
  </si>
  <si>
    <t>21809706        BENBAHMED       LAMINE  9       samedi 11-13</t>
  </si>
  <si>
    <t>21700874        DAM QUANG       AUDREY  6       vendredi 14h-16h</t>
  </si>
  <si>
    <t>21700874        DAM QUANG       AUDREY  9       samedi 11-13</t>
  </si>
  <si>
    <t>21702585        GABARDI LAMYAA  6       vendredi 14h-16h</t>
  </si>
  <si>
    <t>21702585        GABARDI LAMYAA  9       samedi 11-13</t>
  </si>
  <si>
    <t>entretien</t>
  </si>
  <si>
    <t>adm</t>
  </si>
  <si>
    <t>extru</t>
  </si>
  <si>
    <t>moussage</t>
  </si>
  <si>
    <t>revet</t>
  </si>
  <si>
    <t>conditi</t>
  </si>
  <si>
    <t>adm gene</t>
  </si>
  <si>
    <t>distrib</t>
  </si>
  <si>
    <t>total</t>
  </si>
  <si>
    <t>rep prim</t>
  </si>
  <si>
    <t>X</t>
  </si>
  <si>
    <t>Y</t>
  </si>
  <si>
    <t xml:space="preserve">0,1 Y </t>
  </si>
  <si>
    <t>0,05 X</t>
  </si>
  <si>
    <t>=</t>
  </si>
  <si>
    <t>0,995 X</t>
  </si>
  <si>
    <t>/</t>
  </si>
  <si>
    <t>REPART</t>
  </si>
  <si>
    <t>- entr</t>
  </si>
  <si>
    <t xml:space="preserve">- adm </t>
  </si>
  <si>
    <t>REP SECOND</t>
  </si>
  <si>
    <t xml:space="preserve">centres </t>
  </si>
  <si>
    <t xml:space="preserve">COUT UO </t>
  </si>
  <si>
    <t>JUNIOR</t>
  </si>
  <si>
    <t>Q</t>
  </si>
  <si>
    <t>PU</t>
  </si>
  <si>
    <t>T</t>
  </si>
  <si>
    <t>SLALOM</t>
  </si>
  <si>
    <t>NB UO</t>
  </si>
  <si>
    <t>CD</t>
  </si>
  <si>
    <t>polyé</t>
  </si>
  <si>
    <t>polyu</t>
  </si>
  <si>
    <t>epoxy</t>
  </si>
  <si>
    <t>MOD</t>
  </si>
  <si>
    <t>gréement</t>
  </si>
  <si>
    <t>Nom</t>
  </si>
  <si>
    <t>nom</t>
  </si>
  <si>
    <t xml:space="preserve">ULTRA </t>
  </si>
  <si>
    <t>CI</t>
  </si>
  <si>
    <t>EXTRUSION</t>
  </si>
  <si>
    <t>MOUSSAGE</t>
  </si>
  <si>
    <t xml:space="preserve">REVETEMENT </t>
  </si>
  <si>
    <t>CPPV</t>
  </si>
  <si>
    <t>TOTAL</t>
  </si>
  <si>
    <t>COND</t>
  </si>
  <si>
    <t>ADM</t>
  </si>
  <si>
    <t>DISTR</t>
  </si>
  <si>
    <t>CPPF</t>
  </si>
  <si>
    <t>TOTAL CD</t>
  </si>
  <si>
    <t xml:space="preserve">ATTENTION CPPV </t>
  </si>
  <si>
    <t>PAS CPPF</t>
  </si>
  <si>
    <t>IDEM</t>
  </si>
  <si>
    <t xml:space="preserve">principaux </t>
  </si>
  <si>
    <t>CA</t>
  </si>
  <si>
    <t>RESULTAT</t>
  </si>
  <si>
    <t>= COUT DE REVIENT</t>
  </si>
  <si>
    <t>complète la gamme, que la suppression risquerait de reporter les charges communes</t>
  </si>
  <si>
    <t>sur les autres modèles, etc.</t>
  </si>
  <si>
    <t>la perte n’est pas très élevée, que cette planche</t>
  </si>
  <si>
    <t>TOTAL CPPF mais pas CPPV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</si>
</sst>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_-* #,##0.0000\ &quot;€&quot;_-;\-* #,##0.0000\ &quot;€&quot;_-;_-* &quot;-&quot;??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Inherit"/>
    </font>
    <font>
      <sz val="11"/>
      <color rgb="FF201F1E"/>
      <name val="Inherit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42" fontId="0" fillId="0" borderId="1" xfId="0" applyNumberFormat="1" applyBorder="1"/>
    <xf numFmtId="42" fontId="0" fillId="0" borderId="0" xfId="0" applyNumberFormat="1"/>
    <xf numFmtId="42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quotePrefix="1" applyNumberFormat="1" applyBorder="1" applyAlignment="1">
      <alignment horizontal="center"/>
    </xf>
    <xf numFmtId="0" fontId="0" fillId="0" borderId="0" xfId="0" quotePrefix="1"/>
    <xf numFmtId="42" fontId="0" fillId="0" borderId="0" xfId="0" applyNumberFormat="1" applyBorder="1" applyAlignment="1"/>
    <xf numFmtId="0" fontId="0" fillId="0" borderId="0" xfId="0" quotePrefix="1" applyAlignment="1">
      <alignment horizontal="center" vertical="center"/>
    </xf>
    <xf numFmtId="42" fontId="0" fillId="2" borderId="1" xfId="0" applyNumberFormat="1" applyFill="1" applyBorder="1"/>
    <xf numFmtId="0" fontId="0" fillId="0" borderId="2" xfId="0" applyBorder="1"/>
    <xf numFmtId="0" fontId="0" fillId="0" borderId="2" xfId="0" quotePrefix="1" applyBorder="1"/>
    <xf numFmtId="42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2" fontId="0" fillId="0" borderId="6" xfId="0" applyNumberFormat="1" applyBorder="1"/>
    <xf numFmtId="42" fontId="0" fillId="0" borderId="7" xfId="0" applyNumberFormat="1" applyBorder="1"/>
    <xf numFmtId="42" fontId="0" fillId="2" borderId="7" xfId="0" applyNumberFormat="1" applyFill="1" applyBorder="1"/>
    <xf numFmtId="42" fontId="0" fillId="2" borderId="6" xfId="0" applyNumberFormat="1" applyFill="1" applyBorder="1"/>
    <xf numFmtId="42" fontId="0" fillId="0" borderId="8" xfId="0" applyNumberFormat="1" applyBorder="1"/>
    <xf numFmtId="42" fontId="0" fillId="0" borderId="9" xfId="0" applyNumberFormat="1" applyBorder="1"/>
    <xf numFmtId="0" fontId="0" fillId="0" borderId="10" xfId="0" applyBorder="1"/>
    <xf numFmtId="42" fontId="0" fillId="0" borderId="11" xfId="0" applyNumberFormat="1" applyBorder="1"/>
    <xf numFmtId="41" fontId="0" fillId="0" borderId="1" xfId="0" applyNumberFormat="1" applyBorder="1"/>
    <xf numFmtId="41" fontId="0" fillId="0" borderId="0" xfId="0" applyNumberFormat="1"/>
    <xf numFmtId="164" fontId="0" fillId="0" borderId="1" xfId="0" applyNumberFormat="1" applyBorder="1"/>
    <xf numFmtId="42" fontId="0" fillId="3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42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42" fontId="0" fillId="2" borderId="18" xfId="0" applyNumberFormat="1" applyFill="1" applyBorder="1" applyAlignment="1">
      <alignment horizontal="center"/>
    </xf>
    <xf numFmtId="0" fontId="0" fillId="2" borderId="18" xfId="0" applyFill="1" applyBorder="1"/>
    <xf numFmtId="42" fontId="0" fillId="2" borderId="19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0" xfId="0" applyFill="1"/>
    <xf numFmtId="41" fontId="0" fillId="2" borderId="1" xfId="0" applyNumberFormat="1" applyFill="1" applyBorder="1"/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quotePrefix="1" applyBorder="1"/>
    <xf numFmtId="41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1" xfId="0" applyBorder="1"/>
    <xf numFmtId="0" fontId="0" fillId="0" borderId="20" xfId="0" applyBorder="1"/>
    <xf numFmtId="43" fontId="0" fillId="0" borderId="1" xfId="0" applyNumberFormat="1" applyBorder="1" applyAlignment="1">
      <alignment horizontal="center"/>
    </xf>
    <xf numFmtId="4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4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2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5"/>
  <sheetViews>
    <sheetView topLeftCell="B13" zoomScale="230" zoomScaleNormal="230" workbookViewId="0">
      <selection activeCell="C24" sqref="C24"/>
    </sheetView>
  </sheetViews>
  <sheetFormatPr baseColWidth="10" defaultRowHeight="15"/>
  <sheetData>
    <row r="2" spans="2:7">
      <c r="C2" s="7"/>
      <c r="D2" s="7"/>
      <c r="E2" s="7"/>
    </row>
    <row r="3" spans="2:7">
      <c r="C3" s="7" t="s">
        <v>20</v>
      </c>
      <c r="D3" s="7" t="s">
        <v>21</v>
      </c>
      <c r="E3" s="7"/>
    </row>
    <row r="4" spans="2:7">
      <c r="C4" s="7"/>
      <c r="D4" s="7"/>
      <c r="E4" s="7"/>
    </row>
    <row r="5" spans="2:7">
      <c r="C5" s="8" t="s">
        <v>10</v>
      </c>
      <c r="D5" s="8" t="s">
        <v>11</v>
      </c>
      <c r="E5" s="7"/>
    </row>
    <row r="6" spans="2:7">
      <c r="C6" s="9">
        <v>44000</v>
      </c>
      <c r="D6" s="9">
        <v>57500</v>
      </c>
      <c r="E6" s="7"/>
    </row>
    <row r="7" spans="2:7">
      <c r="C7" s="9"/>
      <c r="D7" s="9"/>
      <c r="E7" s="7"/>
    </row>
    <row r="8" spans="2:7">
      <c r="C8" s="9" t="s">
        <v>22</v>
      </c>
      <c r="D8" s="9" t="s">
        <v>23</v>
      </c>
      <c r="E8" s="7"/>
    </row>
    <row r="9" spans="2:7">
      <c r="C9" s="9"/>
      <c r="D9" s="9"/>
      <c r="E9" s="7"/>
    </row>
    <row r="10" spans="2:7">
      <c r="C10" s="9"/>
      <c r="D10" s="9"/>
      <c r="E10" s="7"/>
    </row>
    <row r="11" spans="2:7">
      <c r="C11" s="10"/>
      <c r="D11" s="10"/>
      <c r="E11" s="7"/>
    </row>
    <row r="12" spans="2:7">
      <c r="C12" s="10"/>
      <c r="D12" s="10"/>
      <c r="E12" s="7"/>
    </row>
    <row r="13" spans="2:7">
      <c r="B13" t="s">
        <v>20</v>
      </c>
      <c r="C13" s="11" t="s">
        <v>24</v>
      </c>
      <c r="D13" s="10">
        <v>44000</v>
      </c>
      <c r="E13" s="7">
        <f>+D6*0.1</f>
        <v>5750</v>
      </c>
      <c r="F13">
        <f>0.1*0.05</f>
        <v>5.000000000000001E-3</v>
      </c>
      <c r="G13" t="s">
        <v>20</v>
      </c>
    </row>
    <row r="14" spans="2:7">
      <c r="B14" s="12" t="s">
        <v>25</v>
      </c>
      <c r="C14" s="11" t="s">
        <v>24</v>
      </c>
      <c r="D14" s="10">
        <f>+D13+E13</f>
        <v>49750</v>
      </c>
      <c r="E14" s="7"/>
    </row>
    <row r="15" spans="2:7">
      <c r="B15" t="s">
        <v>20</v>
      </c>
      <c r="C15" s="11" t="s">
        <v>24</v>
      </c>
      <c r="D15" s="6">
        <f>(D13+E13)/0.995</f>
        <v>50000</v>
      </c>
    </row>
    <row r="16" spans="2:7">
      <c r="C16" s="13"/>
      <c r="D16" s="6"/>
    </row>
    <row r="17" spans="2:7">
      <c r="B17" t="s">
        <v>21</v>
      </c>
      <c r="C17" s="11" t="s">
        <v>24</v>
      </c>
      <c r="D17" s="6">
        <v>57500</v>
      </c>
      <c r="E17" s="5">
        <f>0.05*C6</f>
        <v>2200</v>
      </c>
      <c r="F17">
        <f>F13</f>
        <v>5.000000000000001E-3</v>
      </c>
      <c r="G17" t="s">
        <v>21</v>
      </c>
    </row>
    <row r="18" spans="2:7">
      <c r="C18" s="11" t="s">
        <v>24</v>
      </c>
      <c r="D18" s="6">
        <f>+D17+E17</f>
        <v>59700</v>
      </c>
      <c r="E18" s="14" t="s">
        <v>26</v>
      </c>
      <c r="F18">
        <f>1-F17</f>
        <v>0.995</v>
      </c>
    </row>
    <row r="19" spans="2:7">
      <c r="C19" s="11" t="s">
        <v>24</v>
      </c>
      <c r="D19" s="6">
        <f>D18/F18</f>
        <v>60000</v>
      </c>
    </row>
    <row r="20" spans="2:7">
      <c r="C20" s="6"/>
      <c r="D20" s="6"/>
    </row>
    <row r="21" spans="2:7">
      <c r="C21" s="6"/>
      <c r="D21" s="6"/>
    </row>
    <row r="22" spans="2:7">
      <c r="B22" t="s">
        <v>27</v>
      </c>
      <c r="C22" s="15">
        <f>+D19*0.1</f>
        <v>6000</v>
      </c>
      <c r="D22" s="15">
        <f>0.05*D15</f>
        <v>2500</v>
      </c>
    </row>
    <row r="23" spans="2:7">
      <c r="C23" s="6"/>
      <c r="D23" s="6"/>
    </row>
    <row r="24" spans="2:7">
      <c r="C24" s="6"/>
      <c r="D24" s="6"/>
    </row>
    <row r="25" spans="2:7">
      <c r="C25" s="6"/>
      <c r="D25" s="6"/>
    </row>
    <row r="26" spans="2:7">
      <c r="C26" s="6"/>
      <c r="D26" s="6"/>
    </row>
    <row r="27" spans="2:7">
      <c r="C27" s="6"/>
      <c r="D27" s="6"/>
    </row>
    <row r="28" spans="2:7">
      <c r="C28" s="6"/>
      <c r="D28" s="6"/>
    </row>
    <row r="29" spans="2:7">
      <c r="C29" s="6"/>
      <c r="D29" s="6"/>
    </row>
    <row r="30" spans="2:7">
      <c r="C30" s="6"/>
      <c r="D30" s="6"/>
    </row>
    <row r="31" spans="2:7">
      <c r="C31" s="6"/>
      <c r="D31" s="6"/>
    </row>
    <row r="32" spans="2:7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  <row r="40" spans="3:4">
      <c r="C40" s="6"/>
      <c r="D40" s="6"/>
    </row>
    <row r="41" spans="3:4">
      <c r="C41" s="6"/>
      <c r="D41" s="6"/>
    </row>
    <row r="42" spans="3:4">
      <c r="C42" s="6"/>
      <c r="D42" s="6"/>
    </row>
    <row r="43" spans="3:4">
      <c r="C43" s="6"/>
      <c r="D43" s="6"/>
    </row>
    <row r="44" spans="3:4">
      <c r="C44" s="6"/>
      <c r="D44" s="6"/>
    </row>
    <row r="45" spans="3:4">
      <c r="C45" s="6"/>
      <c r="D45" s="6"/>
    </row>
    <row r="46" spans="3:4">
      <c r="C46" s="6"/>
      <c r="D46" s="6"/>
    </row>
    <row r="47" spans="3:4">
      <c r="C47" s="6"/>
      <c r="D47" s="6"/>
    </row>
    <row r="48" spans="3:4">
      <c r="C48" s="6"/>
      <c r="D48" s="6"/>
    </row>
    <row r="49" spans="3:4">
      <c r="C49" s="6"/>
      <c r="D49" s="6"/>
    </row>
    <row r="50" spans="3:4">
      <c r="C50" s="6"/>
      <c r="D50" s="6"/>
    </row>
    <row r="51" spans="3:4">
      <c r="C51" s="6"/>
      <c r="D51" s="6"/>
    </row>
    <row r="52" spans="3:4">
      <c r="C52" s="6"/>
      <c r="D52" s="6"/>
    </row>
    <row r="53" spans="3:4">
      <c r="C53" s="6"/>
      <c r="D53" s="6"/>
    </row>
    <row r="54" spans="3:4">
      <c r="C54" s="6"/>
      <c r="D54" s="6"/>
    </row>
    <row r="55" spans="3:4">
      <c r="C55" s="6"/>
      <c r="D55" s="6"/>
    </row>
    <row r="56" spans="3:4">
      <c r="C56" s="6"/>
      <c r="D56" s="6"/>
    </row>
    <row r="57" spans="3:4">
      <c r="C57" s="6"/>
      <c r="D57" s="6"/>
    </row>
    <row r="58" spans="3:4">
      <c r="C58" s="6"/>
      <c r="D58" s="6"/>
    </row>
    <row r="59" spans="3:4">
      <c r="C59" s="6"/>
      <c r="D59" s="6"/>
    </row>
    <row r="60" spans="3:4">
      <c r="C60" s="6"/>
      <c r="D60" s="6"/>
    </row>
    <row r="61" spans="3:4">
      <c r="C61" s="6"/>
      <c r="D61" s="6"/>
    </row>
    <row r="62" spans="3:4">
      <c r="C62" s="6"/>
      <c r="D62" s="6"/>
    </row>
    <row r="63" spans="3:4">
      <c r="C63" s="6"/>
      <c r="D63" s="6"/>
    </row>
    <row r="64" spans="3:4">
      <c r="C64" s="6"/>
      <c r="D64" s="6"/>
    </row>
    <row r="65" spans="3:4">
      <c r="C65" s="6"/>
      <c r="D65" s="6"/>
    </row>
    <row r="66" spans="3:4">
      <c r="C66" s="6"/>
      <c r="D66" s="6"/>
    </row>
    <row r="67" spans="3:4">
      <c r="C67" s="6"/>
      <c r="D67" s="6"/>
    </row>
    <row r="68" spans="3:4">
      <c r="C68" s="6"/>
      <c r="D68" s="6"/>
    </row>
    <row r="69" spans="3:4">
      <c r="C69" s="6"/>
      <c r="D69" s="6"/>
    </row>
    <row r="70" spans="3:4">
      <c r="C70" s="6"/>
      <c r="D70" s="6"/>
    </row>
    <row r="71" spans="3:4">
      <c r="C71" s="6"/>
      <c r="D71" s="6"/>
    </row>
    <row r="72" spans="3:4">
      <c r="C72" s="6"/>
      <c r="D72" s="6"/>
    </row>
    <row r="73" spans="3:4">
      <c r="C73" s="6"/>
      <c r="D73" s="6"/>
    </row>
    <row r="74" spans="3:4">
      <c r="C74" s="6"/>
      <c r="D74" s="6"/>
    </row>
    <row r="75" spans="3:4">
      <c r="C75" s="6"/>
      <c r="D75" s="6"/>
    </row>
    <row r="76" spans="3:4">
      <c r="C76" s="6"/>
      <c r="D76" s="6"/>
    </row>
    <row r="77" spans="3:4">
      <c r="C77" s="6"/>
      <c r="D77" s="6"/>
    </row>
    <row r="78" spans="3:4">
      <c r="C78" s="6"/>
      <c r="D78" s="6"/>
    </row>
    <row r="79" spans="3:4">
      <c r="C79" s="6"/>
      <c r="D79" s="6"/>
    </row>
    <row r="80" spans="3:4">
      <c r="C80" s="6"/>
      <c r="D80" s="6"/>
    </row>
    <row r="81" spans="3:4">
      <c r="C81" s="6"/>
      <c r="D81" s="6"/>
    </row>
    <row r="82" spans="3:4">
      <c r="C82" s="6"/>
      <c r="D82" s="6"/>
    </row>
    <row r="83" spans="3:4">
      <c r="C83" s="6"/>
      <c r="D83" s="6"/>
    </row>
    <row r="84" spans="3:4">
      <c r="C84" s="6"/>
      <c r="D84" s="6"/>
    </row>
    <row r="85" spans="3:4">
      <c r="C85" s="6"/>
      <c r="D85" s="6"/>
    </row>
    <row r="86" spans="3:4">
      <c r="C86" s="6"/>
      <c r="D86" s="6"/>
    </row>
    <row r="87" spans="3:4">
      <c r="C87" s="6"/>
      <c r="D87" s="6"/>
    </row>
    <row r="88" spans="3:4">
      <c r="C88" s="6"/>
      <c r="D88" s="6"/>
    </row>
    <row r="89" spans="3:4">
      <c r="C89" s="6"/>
      <c r="D89" s="6"/>
    </row>
    <row r="90" spans="3:4">
      <c r="C90" s="6"/>
      <c r="D90" s="6"/>
    </row>
    <row r="91" spans="3:4">
      <c r="C91" s="6"/>
      <c r="D91" s="6"/>
    </row>
    <row r="92" spans="3:4">
      <c r="C92" s="6"/>
      <c r="D92" s="6"/>
    </row>
    <row r="93" spans="3:4">
      <c r="C93" s="6"/>
      <c r="D93" s="6"/>
    </row>
    <row r="94" spans="3:4">
      <c r="C94" s="6"/>
      <c r="D94" s="6"/>
    </row>
    <row r="95" spans="3:4">
      <c r="C95" s="6"/>
      <c r="D95" s="6"/>
    </row>
    <row r="96" spans="3:4">
      <c r="C96" s="6"/>
      <c r="D96" s="6"/>
    </row>
    <row r="97" spans="3:4">
      <c r="C97" s="6"/>
      <c r="D97" s="6"/>
    </row>
    <row r="98" spans="3:4">
      <c r="C98" s="6"/>
      <c r="D98" s="6"/>
    </row>
    <row r="99" spans="3:4">
      <c r="C99" s="6"/>
      <c r="D99" s="6"/>
    </row>
    <row r="100" spans="3:4">
      <c r="C100" s="6"/>
      <c r="D100" s="6"/>
    </row>
    <row r="101" spans="3:4">
      <c r="C101" s="6"/>
      <c r="D101" s="6"/>
    </row>
    <row r="102" spans="3:4">
      <c r="C102" s="6"/>
      <c r="D102" s="6"/>
    </row>
    <row r="103" spans="3:4">
      <c r="C103" s="6"/>
      <c r="D103" s="6"/>
    </row>
    <row r="104" spans="3:4">
      <c r="C104" s="6"/>
      <c r="D104" s="6"/>
    </row>
    <row r="105" spans="3:4">
      <c r="C105" s="6"/>
      <c r="D105" s="6"/>
    </row>
    <row r="106" spans="3:4">
      <c r="C106" s="6"/>
      <c r="D106" s="6"/>
    </row>
    <row r="107" spans="3:4">
      <c r="C107" s="6"/>
      <c r="D107" s="6"/>
    </row>
    <row r="108" spans="3:4">
      <c r="C108" s="6"/>
      <c r="D108" s="6"/>
    </row>
    <row r="109" spans="3:4">
      <c r="C109" s="6"/>
      <c r="D109" s="6"/>
    </row>
    <row r="110" spans="3:4">
      <c r="C110" s="6"/>
      <c r="D110" s="6"/>
    </row>
    <row r="111" spans="3:4">
      <c r="C111" s="6"/>
      <c r="D111" s="6"/>
    </row>
    <row r="112" spans="3:4">
      <c r="C112" s="6"/>
      <c r="D112" s="6"/>
    </row>
    <row r="113" spans="3:4">
      <c r="C113" s="6"/>
      <c r="D113" s="6"/>
    </row>
    <row r="114" spans="3:4">
      <c r="C114" s="6"/>
      <c r="D114" s="6"/>
    </row>
    <row r="115" spans="3:4">
      <c r="C115" s="6"/>
      <c r="D115" s="6"/>
    </row>
    <row r="116" spans="3:4">
      <c r="C116" s="6"/>
      <c r="D116" s="6"/>
    </row>
    <row r="117" spans="3:4">
      <c r="C117" s="6"/>
      <c r="D117" s="6"/>
    </row>
    <row r="118" spans="3:4">
      <c r="C118" s="6"/>
      <c r="D118" s="6"/>
    </row>
    <row r="119" spans="3:4">
      <c r="C119" s="6"/>
      <c r="D119" s="6"/>
    </row>
    <row r="120" spans="3:4">
      <c r="C120" s="6"/>
      <c r="D120" s="6"/>
    </row>
    <row r="121" spans="3:4">
      <c r="C121" s="6"/>
      <c r="D121" s="6"/>
    </row>
    <row r="122" spans="3:4">
      <c r="C122" s="6"/>
      <c r="D122" s="6"/>
    </row>
    <row r="123" spans="3:4">
      <c r="C123" s="6"/>
      <c r="D123" s="6"/>
    </row>
    <row r="124" spans="3:4">
      <c r="C124" s="6"/>
      <c r="D124" s="6"/>
    </row>
    <row r="125" spans="3:4">
      <c r="C125" s="6"/>
      <c r="D125" s="6"/>
    </row>
    <row r="126" spans="3:4">
      <c r="C126" s="6"/>
      <c r="D126" s="6"/>
    </row>
    <row r="127" spans="3:4">
      <c r="C127" s="6"/>
      <c r="D127" s="6"/>
    </row>
    <row r="128" spans="3:4">
      <c r="C128" s="6"/>
      <c r="D128" s="6"/>
    </row>
    <row r="129" spans="3:4">
      <c r="C129" s="6"/>
      <c r="D129" s="6"/>
    </row>
    <row r="130" spans="3:4">
      <c r="C130" s="6"/>
      <c r="D130" s="6"/>
    </row>
    <row r="131" spans="3:4">
      <c r="C131" s="6"/>
      <c r="D131" s="6"/>
    </row>
    <row r="132" spans="3:4">
      <c r="C132" s="6"/>
      <c r="D132" s="6"/>
    </row>
    <row r="133" spans="3:4">
      <c r="C133" s="6"/>
      <c r="D133" s="6"/>
    </row>
    <row r="134" spans="3:4">
      <c r="C134" s="6"/>
      <c r="D134" s="6"/>
    </row>
    <row r="135" spans="3:4">
      <c r="C135" s="6"/>
      <c r="D135" s="6"/>
    </row>
    <row r="136" spans="3:4">
      <c r="C136" s="6"/>
      <c r="D136" s="6"/>
    </row>
    <row r="137" spans="3:4">
      <c r="C137" s="6"/>
      <c r="D137" s="6"/>
    </row>
    <row r="138" spans="3:4">
      <c r="C138" s="6"/>
      <c r="D138" s="6"/>
    </row>
    <row r="139" spans="3:4">
      <c r="C139" s="6"/>
      <c r="D139" s="6"/>
    </row>
    <row r="140" spans="3:4">
      <c r="C140" s="6"/>
      <c r="D140" s="6"/>
    </row>
    <row r="141" spans="3:4">
      <c r="C141" s="6"/>
      <c r="D141" s="6"/>
    </row>
    <row r="142" spans="3:4">
      <c r="C142" s="6"/>
      <c r="D142" s="6"/>
    </row>
    <row r="143" spans="3:4">
      <c r="C143" s="6"/>
      <c r="D143" s="6"/>
    </row>
    <row r="144" spans="3:4">
      <c r="C144" s="6"/>
      <c r="D144" s="6"/>
    </row>
    <row r="145" spans="3:4">
      <c r="C145" s="6"/>
      <c r="D145" s="6"/>
    </row>
    <row r="146" spans="3:4">
      <c r="C146" s="6"/>
      <c r="D146" s="6"/>
    </row>
    <row r="147" spans="3:4">
      <c r="C147" s="6"/>
      <c r="D147" s="6"/>
    </row>
    <row r="148" spans="3:4">
      <c r="C148" s="6"/>
      <c r="D148" s="6"/>
    </row>
    <row r="149" spans="3:4">
      <c r="C149" s="6"/>
      <c r="D149" s="6"/>
    </row>
    <row r="150" spans="3:4">
      <c r="C150" s="6"/>
      <c r="D150" s="6"/>
    </row>
    <row r="151" spans="3:4">
      <c r="C151" s="6"/>
      <c r="D151" s="6"/>
    </row>
    <row r="152" spans="3:4">
      <c r="C152" s="6"/>
      <c r="D152" s="6"/>
    </row>
    <row r="153" spans="3:4">
      <c r="C153" s="6"/>
      <c r="D153" s="6"/>
    </row>
    <row r="154" spans="3:4">
      <c r="C154" s="6"/>
      <c r="D154" s="6"/>
    </row>
    <row r="155" spans="3:4">
      <c r="C155" s="6"/>
      <c r="D155" s="6"/>
    </row>
    <row r="156" spans="3:4">
      <c r="C156" s="6"/>
      <c r="D156" s="6"/>
    </row>
    <row r="157" spans="3:4">
      <c r="C157" s="6"/>
      <c r="D157" s="6"/>
    </row>
    <row r="158" spans="3:4">
      <c r="C158" s="6"/>
      <c r="D158" s="6"/>
    </row>
    <row r="159" spans="3:4">
      <c r="C159" s="6"/>
      <c r="D159" s="6"/>
    </row>
    <row r="160" spans="3:4">
      <c r="C160" s="6"/>
      <c r="D160" s="6"/>
    </row>
    <row r="161" spans="3:6">
      <c r="C161" s="6"/>
      <c r="D161" s="6"/>
    </row>
    <row r="162" spans="3:6">
      <c r="C162" s="6"/>
      <c r="D162" s="6"/>
    </row>
    <row r="163" spans="3:6">
      <c r="C163" s="6"/>
      <c r="D163" s="6"/>
    </row>
    <row r="164" spans="3:6">
      <c r="C164" s="6"/>
      <c r="D164" s="6"/>
    </row>
    <row r="165" spans="3:6">
      <c r="C165" s="6"/>
      <c r="D165" s="6"/>
    </row>
    <row r="166" spans="3:6">
      <c r="C166" s="6"/>
      <c r="D166" s="6"/>
    </row>
    <row r="168" spans="3:6">
      <c r="F168" s="1" t="s">
        <v>0</v>
      </c>
    </row>
    <row r="169" spans="3:6">
      <c r="F169" s="2" t="s">
        <v>1</v>
      </c>
    </row>
    <row r="170" spans="3:6">
      <c r="F170" s="2" t="s">
        <v>2</v>
      </c>
    </row>
    <row r="171" spans="3:6">
      <c r="F171" s="2" t="s">
        <v>3</v>
      </c>
    </row>
    <row r="172" spans="3:6">
      <c r="F172" s="2" t="s">
        <v>4</v>
      </c>
    </row>
    <row r="173" spans="3:6">
      <c r="F173" s="2" t="s">
        <v>5</v>
      </c>
    </row>
    <row r="174" spans="3:6">
      <c r="F174" s="2" t="s">
        <v>6</v>
      </c>
    </row>
    <row r="175" spans="3:6">
      <c r="F175" s="2" t="s">
        <v>7</v>
      </c>
    </row>
    <row r="176" spans="3:6">
      <c r="F176" s="2" t="s">
        <v>8</v>
      </c>
    </row>
    <row r="177" spans="6:11">
      <c r="F177" s="2" t="s">
        <v>9</v>
      </c>
    </row>
    <row r="180" spans="6:11">
      <c r="K180">
        <v>1</v>
      </c>
    </row>
    <row r="181" spans="6:11">
      <c r="K181">
        <v>6</v>
      </c>
    </row>
    <row r="182" spans="6:11">
      <c r="K182">
        <f>+K180/K181</f>
        <v>0.16666666666666666</v>
      </c>
    </row>
    <row r="183" spans="6:11">
      <c r="H183">
        <v>1991</v>
      </c>
    </row>
    <row r="184" spans="6:11">
      <c r="H184">
        <v>25</v>
      </c>
    </row>
    <row r="185" spans="6:11">
      <c r="H185">
        <f>+H183-H184</f>
        <v>1966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T60"/>
  <sheetViews>
    <sheetView tabSelected="1" topLeftCell="E40" zoomScale="150" zoomScaleNormal="150" workbookViewId="0">
      <selection activeCell="I49" sqref="I49"/>
    </sheetView>
  </sheetViews>
  <sheetFormatPr baseColWidth="10" defaultRowHeight="15"/>
  <cols>
    <col min="3" max="3" width="16.85546875" customWidth="1"/>
    <col min="4" max="4" width="15.85546875" customWidth="1"/>
    <col min="5" max="5" width="11.140625" customWidth="1"/>
    <col min="9" max="9" width="14.7109375" bestFit="1" customWidth="1"/>
    <col min="13" max="13" width="13.140625" bestFit="1" customWidth="1"/>
    <col min="16" max="16" width="11.5703125" bestFit="1" customWidth="1"/>
    <col min="17" max="17" width="14.28515625" bestFit="1" customWidth="1"/>
    <col min="20" max="20" width="13" customWidth="1"/>
  </cols>
  <sheetData>
    <row r="5" spans="3:12" ht="15.75" thickBot="1"/>
    <row r="6" spans="3:12">
      <c r="D6" s="19" t="s">
        <v>31</v>
      </c>
      <c r="E6" s="20"/>
      <c r="F6" s="19"/>
      <c r="G6" s="29"/>
      <c r="H6" s="29" t="s">
        <v>31</v>
      </c>
      <c r="I6" s="29" t="s">
        <v>62</v>
      </c>
      <c r="J6" s="29"/>
      <c r="K6" s="20"/>
    </row>
    <row r="7" spans="3:12">
      <c r="C7" s="16"/>
      <c r="D7" s="21" t="s">
        <v>10</v>
      </c>
      <c r="E7" s="22" t="s">
        <v>11</v>
      </c>
      <c r="F7" s="61" t="s">
        <v>12</v>
      </c>
      <c r="G7" s="62" t="s">
        <v>13</v>
      </c>
      <c r="H7" s="62" t="s">
        <v>14</v>
      </c>
      <c r="I7" s="62" t="s">
        <v>15</v>
      </c>
      <c r="J7" s="62" t="s">
        <v>16</v>
      </c>
      <c r="K7" s="63" t="s">
        <v>17</v>
      </c>
      <c r="L7" s="64" t="s">
        <v>18</v>
      </c>
    </row>
    <row r="8" spans="3:12">
      <c r="C8" s="16" t="s">
        <v>19</v>
      </c>
      <c r="D8" s="23">
        <v>44000</v>
      </c>
      <c r="E8" s="24">
        <v>57500</v>
      </c>
      <c r="F8" s="23">
        <v>168500</v>
      </c>
      <c r="G8" s="4">
        <v>63250</v>
      </c>
      <c r="H8" s="4">
        <v>41000</v>
      </c>
      <c r="I8" s="4">
        <v>73768</v>
      </c>
      <c r="J8" s="4">
        <v>191134</v>
      </c>
      <c r="K8" s="24">
        <v>146475</v>
      </c>
      <c r="L8" s="18">
        <f>SUM(D8:K8)</f>
        <v>785627</v>
      </c>
    </row>
    <row r="9" spans="3:12">
      <c r="C9" s="17" t="s">
        <v>28</v>
      </c>
      <c r="D9" s="23">
        <v>-50000</v>
      </c>
      <c r="E9" s="25">
        <v>2500</v>
      </c>
      <c r="F9" s="23">
        <f>0.25*-D9</f>
        <v>12500</v>
      </c>
      <c r="G9" s="4">
        <v>10000</v>
      </c>
      <c r="H9" s="4">
        <v>10000</v>
      </c>
      <c r="I9" s="4">
        <v>7500</v>
      </c>
      <c r="J9" s="4">
        <v>2500</v>
      </c>
      <c r="K9" s="24">
        <v>5000</v>
      </c>
      <c r="L9" s="18"/>
    </row>
    <row r="10" spans="3:12">
      <c r="C10" s="17" t="s">
        <v>29</v>
      </c>
      <c r="D10" s="26">
        <v>6000</v>
      </c>
      <c r="E10" s="24">
        <v>-60000</v>
      </c>
      <c r="F10" s="23">
        <v>15000</v>
      </c>
      <c r="G10" s="4">
        <v>18000</v>
      </c>
      <c r="H10" s="4">
        <v>15000</v>
      </c>
      <c r="I10" s="4">
        <v>6000</v>
      </c>
      <c r="J10" s="4"/>
      <c r="K10" s="24"/>
      <c r="L10" s="18"/>
    </row>
    <row r="11" spans="3:12">
      <c r="C11" s="16"/>
      <c r="D11" s="23"/>
      <c r="E11" s="24"/>
      <c r="F11" s="23"/>
      <c r="G11" s="4"/>
      <c r="H11" s="4"/>
      <c r="I11" s="4"/>
      <c r="J11" s="4"/>
      <c r="K11" s="24"/>
      <c r="L11" s="18"/>
    </row>
    <row r="12" spans="3:12" ht="15.75" thickBot="1">
      <c r="C12" s="16" t="s">
        <v>30</v>
      </c>
      <c r="D12" s="27">
        <f>+D8+D9+D10</f>
        <v>0</v>
      </c>
      <c r="E12" s="28">
        <f>+E8+E9+E10</f>
        <v>0</v>
      </c>
      <c r="F12" s="27">
        <f>SUM(F8:F11)</f>
        <v>196000</v>
      </c>
      <c r="G12" s="30">
        <f t="shared" ref="G12:K12" si="0">SUM(G8:G11)</f>
        <v>91250</v>
      </c>
      <c r="H12" s="30">
        <f t="shared" si="0"/>
        <v>66000</v>
      </c>
      <c r="I12" s="30">
        <f t="shared" si="0"/>
        <v>87268</v>
      </c>
      <c r="J12" s="30">
        <f t="shared" si="0"/>
        <v>193634</v>
      </c>
      <c r="K12" s="28">
        <f t="shared" si="0"/>
        <v>151475</v>
      </c>
      <c r="L12" s="18">
        <f>SUM(F12:K12)</f>
        <v>785627</v>
      </c>
    </row>
    <row r="13" spans="3:12">
      <c r="D13" s="5"/>
      <c r="E13" s="5"/>
      <c r="F13" s="5"/>
      <c r="G13" s="5"/>
      <c r="H13" s="5"/>
      <c r="I13" s="5"/>
      <c r="J13" s="5"/>
      <c r="K13" s="5"/>
      <c r="L13" s="5"/>
    </row>
    <row r="14" spans="3:12">
      <c r="C14" s="3" t="s">
        <v>38</v>
      </c>
      <c r="D14" s="34"/>
      <c r="E14" s="34"/>
      <c r="F14" s="31">
        <v>2200</v>
      </c>
      <c r="G14" s="31">
        <v>10050</v>
      </c>
      <c r="H14" s="31">
        <v>600</v>
      </c>
      <c r="I14" s="60">
        <f>+P45+L45+H45</f>
        <v>686638.71995820268</v>
      </c>
      <c r="J14" s="60">
        <f>+I14</f>
        <v>686638.71995820268</v>
      </c>
      <c r="K14" s="31">
        <v>1490</v>
      </c>
      <c r="L14" s="32"/>
    </row>
    <row r="15" spans="3:12">
      <c r="C15" s="3" t="s">
        <v>32</v>
      </c>
      <c r="D15" s="34"/>
      <c r="E15" s="34"/>
      <c r="F15" s="33">
        <f>+F12/F14</f>
        <v>89.090909090909093</v>
      </c>
      <c r="G15" s="37">
        <f t="shared" ref="G15:K15" si="1">+G12/G14</f>
        <v>9.0796019900497509</v>
      </c>
      <c r="H15" s="33">
        <f t="shared" si="1"/>
        <v>110</v>
      </c>
      <c r="I15" s="37">
        <f t="shared" si="1"/>
        <v>0.12709449301855888</v>
      </c>
      <c r="J15" s="37">
        <f t="shared" si="1"/>
        <v>0.28200273939079196</v>
      </c>
      <c r="K15" s="33">
        <f t="shared" si="1"/>
        <v>101.66107382550335</v>
      </c>
      <c r="L15" s="5"/>
    </row>
    <row r="16" spans="3:12">
      <c r="D16" s="5"/>
      <c r="E16" s="5"/>
      <c r="F16" s="5"/>
      <c r="G16" s="5"/>
      <c r="H16" s="5"/>
      <c r="I16" s="5"/>
      <c r="J16" s="5"/>
      <c r="K16" s="5"/>
      <c r="L16" s="5"/>
    </row>
    <row r="17" spans="4:19">
      <c r="I17" s="59" t="s">
        <v>59</v>
      </c>
      <c r="J17" s="59"/>
    </row>
    <row r="18" spans="4:19">
      <c r="I18" s="59" t="s">
        <v>60</v>
      </c>
      <c r="J18" s="59" t="s">
        <v>61</v>
      </c>
    </row>
    <row r="20" spans="4:19">
      <c r="E20">
        <v>250000</v>
      </c>
    </row>
    <row r="21" spans="4:19">
      <c r="E21">
        <f>+E20/1.5</f>
        <v>166666.66666666666</v>
      </c>
      <c r="G21">
        <v>167000</v>
      </c>
      <c r="H21">
        <v>1.5</v>
      </c>
      <c r="I21">
        <f>G21*H21</f>
        <v>250500</v>
      </c>
      <c r="J21">
        <v>200000</v>
      </c>
    </row>
    <row r="22" spans="4:19">
      <c r="J22">
        <f>+I21-J21</f>
        <v>50500</v>
      </c>
    </row>
    <row r="24" spans="4:19" ht="15.75" thickBot="1"/>
    <row r="25" spans="4:19" ht="15.75" thickBot="1">
      <c r="E25" s="16"/>
      <c r="F25" s="40"/>
      <c r="G25" s="41"/>
      <c r="H25" s="41" t="s">
        <v>33</v>
      </c>
      <c r="I25" s="41"/>
      <c r="J25" s="56"/>
      <c r="K25" s="41" t="s">
        <v>37</v>
      </c>
      <c r="L25" s="41"/>
      <c r="M25" s="41"/>
      <c r="N25" s="56"/>
      <c r="O25" s="41" t="s">
        <v>47</v>
      </c>
      <c r="P25" s="57"/>
      <c r="Q25" s="58"/>
    </row>
    <row r="26" spans="4:19">
      <c r="E26" s="3"/>
      <c r="F26" s="39" t="s">
        <v>34</v>
      </c>
      <c r="G26" s="39" t="s">
        <v>45</v>
      </c>
      <c r="H26" s="39" t="s">
        <v>35</v>
      </c>
      <c r="I26" s="39" t="s">
        <v>36</v>
      </c>
      <c r="J26" s="39" t="s">
        <v>34</v>
      </c>
      <c r="K26" s="39" t="s">
        <v>46</v>
      </c>
      <c r="L26" s="39" t="s">
        <v>35</v>
      </c>
      <c r="M26" s="39" t="s">
        <v>36</v>
      </c>
      <c r="N26" s="39" t="s">
        <v>34</v>
      </c>
      <c r="O26" s="39" t="s">
        <v>46</v>
      </c>
      <c r="P26" s="39" t="s">
        <v>35</v>
      </c>
      <c r="Q26" s="39" t="s">
        <v>36</v>
      </c>
    </row>
    <row r="27" spans="4:19">
      <c r="D27" t="s">
        <v>39</v>
      </c>
      <c r="E27" s="3" t="s">
        <v>40</v>
      </c>
      <c r="F27" s="36">
        <v>400</v>
      </c>
      <c r="G27" s="36">
        <v>8</v>
      </c>
      <c r="H27" s="36">
        <v>2.4</v>
      </c>
      <c r="I27" s="36">
        <f>+F27*G27*H27</f>
        <v>7680</v>
      </c>
      <c r="J27" s="36">
        <v>850</v>
      </c>
      <c r="K27" s="36">
        <v>12</v>
      </c>
      <c r="L27" s="36">
        <v>2.4</v>
      </c>
      <c r="M27" s="36">
        <f>+J27*K27*L27</f>
        <v>24480</v>
      </c>
      <c r="N27" s="36">
        <v>300</v>
      </c>
      <c r="O27" s="36">
        <v>12</v>
      </c>
      <c r="P27" s="36">
        <v>2.4</v>
      </c>
      <c r="Q27" s="36">
        <f>+N27*O27*P27</f>
        <v>8640</v>
      </c>
    </row>
    <row r="28" spans="4:19">
      <c r="E28" s="3" t="s">
        <v>41</v>
      </c>
      <c r="F28" s="36">
        <v>400</v>
      </c>
      <c r="G28" s="36">
        <v>5</v>
      </c>
      <c r="H28" s="36">
        <v>3</v>
      </c>
      <c r="I28" s="36">
        <f t="shared" ref="I28:I31" si="2">+F28*G28*H28</f>
        <v>6000</v>
      </c>
      <c r="J28" s="36">
        <v>850</v>
      </c>
      <c r="K28" s="36">
        <v>7</v>
      </c>
      <c r="L28" s="36">
        <v>3</v>
      </c>
      <c r="M28" s="36">
        <f t="shared" ref="M28:M31" si="3">+J28*K28*L28</f>
        <v>17850</v>
      </c>
      <c r="N28" s="36">
        <v>300</v>
      </c>
      <c r="O28" s="36">
        <v>7</v>
      </c>
      <c r="P28" s="36">
        <v>3</v>
      </c>
      <c r="Q28" s="36">
        <f t="shared" ref="Q28:Q31" si="4">+N28*O28*P28</f>
        <v>6300</v>
      </c>
    </row>
    <row r="29" spans="4:19">
      <c r="E29" s="3" t="s">
        <v>42</v>
      </c>
      <c r="F29" s="36"/>
      <c r="G29" s="36"/>
      <c r="H29" s="36"/>
      <c r="I29" s="36">
        <f t="shared" si="2"/>
        <v>0</v>
      </c>
      <c r="J29" s="36"/>
      <c r="K29" s="36"/>
      <c r="L29" s="36"/>
      <c r="M29" s="36">
        <f t="shared" si="3"/>
        <v>0</v>
      </c>
      <c r="N29" s="36">
        <v>300</v>
      </c>
      <c r="O29" s="36">
        <v>2</v>
      </c>
      <c r="P29" s="36">
        <v>5</v>
      </c>
      <c r="Q29" s="36">
        <f t="shared" si="4"/>
        <v>3000</v>
      </c>
    </row>
    <row r="30" spans="4:19">
      <c r="E30" s="3" t="s">
        <v>43</v>
      </c>
      <c r="F30" s="36">
        <v>400</v>
      </c>
      <c r="G30" s="36">
        <v>1</v>
      </c>
      <c r="H30" s="36">
        <v>21</v>
      </c>
      <c r="I30" s="36">
        <f t="shared" si="2"/>
        <v>8400</v>
      </c>
      <c r="J30" s="36">
        <v>850</v>
      </c>
      <c r="K30" s="36">
        <v>1.5</v>
      </c>
      <c r="L30" s="36">
        <v>21</v>
      </c>
      <c r="M30" s="36">
        <f t="shared" si="3"/>
        <v>26775</v>
      </c>
      <c r="N30" s="36">
        <v>300</v>
      </c>
      <c r="O30" s="36">
        <v>2</v>
      </c>
      <c r="P30" s="36">
        <v>21</v>
      </c>
      <c r="Q30" s="36">
        <f t="shared" si="4"/>
        <v>12600</v>
      </c>
    </row>
    <row r="31" spans="4:19" ht="15.75" thickBot="1">
      <c r="E31" s="42" t="s">
        <v>44</v>
      </c>
      <c r="F31" s="52">
        <v>400</v>
      </c>
      <c r="G31" s="52">
        <v>1</v>
      </c>
      <c r="H31" s="52">
        <v>108</v>
      </c>
      <c r="I31" s="52">
        <f t="shared" si="2"/>
        <v>43200</v>
      </c>
      <c r="J31" s="52">
        <v>850</v>
      </c>
      <c r="K31" s="52">
        <v>1</v>
      </c>
      <c r="L31" s="52">
        <v>140</v>
      </c>
      <c r="M31" s="52">
        <f t="shared" si="3"/>
        <v>119000</v>
      </c>
      <c r="N31" s="52">
        <v>300</v>
      </c>
      <c r="O31" s="52">
        <v>1</v>
      </c>
      <c r="P31" s="52">
        <v>200</v>
      </c>
      <c r="Q31" s="52">
        <f t="shared" si="4"/>
        <v>60000</v>
      </c>
      <c r="S31" t="s">
        <v>53</v>
      </c>
    </row>
    <row r="32" spans="4:19" ht="15.75" thickBot="1">
      <c r="E32" s="40" t="s">
        <v>58</v>
      </c>
      <c r="F32" s="53"/>
      <c r="G32" s="53"/>
      <c r="H32" s="53"/>
      <c r="I32" s="54">
        <f>SUM(I27:I31)</f>
        <v>65280</v>
      </c>
      <c r="J32" s="53"/>
      <c r="K32" s="53"/>
      <c r="L32" s="53"/>
      <c r="M32" s="54">
        <f>SUM(M27:M31)</f>
        <v>188105</v>
      </c>
      <c r="N32" s="53"/>
      <c r="O32" s="53"/>
      <c r="P32" s="53"/>
      <c r="Q32" s="55">
        <f>SUM(Q27:Q31)</f>
        <v>90540</v>
      </c>
      <c r="S32">
        <f>+Q32+M32+I32</f>
        <v>343925</v>
      </c>
    </row>
    <row r="33" spans="4:20">
      <c r="D33" t="s">
        <v>48</v>
      </c>
      <c r="F33" s="7"/>
      <c r="G33" s="7"/>
      <c r="H33" s="7"/>
      <c r="I33" s="7"/>
      <c r="J33" s="7"/>
      <c r="K33" s="7"/>
      <c r="L33" s="7"/>
      <c r="M33" s="7"/>
      <c r="N33" s="7"/>
    </row>
    <row r="34" spans="4:20">
      <c r="D34" s="77">
        <f>+(F34*G34)+J34*K34+N34*O34</f>
        <v>2200</v>
      </c>
      <c r="E34" s="3" t="s">
        <v>49</v>
      </c>
      <c r="F34" s="75">
        <v>400</v>
      </c>
      <c r="G34" s="75">
        <v>1</v>
      </c>
      <c r="H34" s="35">
        <f>+F15</f>
        <v>89.090909090909093</v>
      </c>
      <c r="I34" s="9">
        <f>+F34*H34</f>
        <v>35636.36363636364</v>
      </c>
      <c r="J34" s="75">
        <v>850</v>
      </c>
      <c r="K34" s="75">
        <v>1.5</v>
      </c>
      <c r="L34" s="35">
        <f>+H34</f>
        <v>89.090909090909093</v>
      </c>
      <c r="M34" s="9">
        <f>+J34*K34*L34</f>
        <v>113590.90909090909</v>
      </c>
      <c r="N34" s="75">
        <v>300</v>
      </c>
      <c r="O34" s="76">
        <v>1.75</v>
      </c>
      <c r="P34" s="33">
        <f>+L34</f>
        <v>89.090909090909093</v>
      </c>
      <c r="Q34" s="38">
        <f t="shared" ref="Q34" si="5">+N34*O34*P34</f>
        <v>46772.727272727272</v>
      </c>
    </row>
    <row r="35" spans="4:20">
      <c r="E35" s="3" t="s">
        <v>50</v>
      </c>
      <c r="F35" s="8">
        <v>400</v>
      </c>
      <c r="G35" s="8">
        <v>5</v>
      </c>
      <c r="H35" s="35">
        <f>+G15</f>
        <v>9.0796019900497509</v>
      </c>
      <c r="I35" s="9">
        <f>+F35*G35*H35</f>
        <v>18159.203980099501</v>
      </c>
      <c r="J35" s="8">
        <v>850</v>
      </c>
      <c r="K35" s="8">
        <v>7</v>
      </c>
      <c r="L35" s="35">
        <f>+H35</f>
        <v>9.0796019900497509</v>
      </c>
      <c r="M35" s="9">
        <f>+J35*K35*L35</f>
        <v>54023.631840796021</v>
      </c>
      <c r="N35" s="8">
        <v>300</v>
      </c>
      <c r="O35" s="3">
        <v>7</v>
      </c>
      <c r="P35" s="33">
        <f>+L35</f>
        <v>9.0796019900497509</v>
      </c>
      <c r="Q35" s="9">
        <f>+N35*O35*P35</f>
        <v>19067.164179104479</v>
      </c>
    </row>
    <row r="36" spans="4:20">
      <c r="E36" s="3" t="s">
        <v>51</v>
      </c>
      <c r="F36" s="8"/>
      <c r="G36" s="8"/>
      <c r="H36" s="8"/>
      <c r="I36" s="8"/>
      <c r="J36" s="8"/>
      <c r="K36" s="8"/>
      <c r="L36" s="8"/>
      <c r="M36" s="8"/>
      <c r="N36" s="8"/>
      <c r="O36" s="3"/>
      <c r="P36" s="3"/>
      <c r="Q36" s="3">
        <v>66000</v>
      </c>
    </row>
    <row r="37" spans="4:20" ht="15.75" thickBot="1"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2"/>
      <c r="P37" s="42"/>
      <c r="Q37" s="42"/>
      <c r="S37" t="s">
        <v>69</v>
      </c>
    </row>
    <row r="38" spans="4:20" ht="15.75" thickBot="1">
      <c r="E38" s="46" t="s">
        <v>57</v>
      </c>
      <c r="F38" s="47">
        <v>400</v>
      </c>
      <c r="G38" s="47"/>
      <c r="H38" s="51">
        <f>+I38/F38</f>
        <v>297.68891904115787</v>
      </c>
      <c r="I38" s="48">
        <f>+I35+I34+I32</f>
        <v>119075.56761646314</v>
      </c>
      <c r="J38" s="47">
        <v>850</v>
      </c>
      <c r="K38" s="47"/>
      <c r="L38" s="51">
        <f>+M38/J38</f>
        <v>418.49357756671185</v>
      </c>
      <c r="M38" s="48">
        <f>+M35+M34+M32</f>
        <v>355719.54093170509</v>
      </c>
      <c r="N38" s="47">
        <v>300</v>
      </c>
      <c r="O38" s="49"/>
      <c r="P38" s="51">
        <f>+Q38/N38</f>
        <v>741.26630483943916</v>
      </c>
      <c r="Q38" s="50">
        <f>+Q35+Q34+Q32+Q36</f>
        <v>222379.89145183173</v>
      </c>
      <c r="S38" s="5">
        <f>+Q38+M38+I38</f>
        <v>697175</v>
      </c>
    </row>
    <row r="39" spans="4:20"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4"/>
      <c r="P39" s="44"/>
      <c r="Q39" s="44"/>
    </row>
    <row r="41" spans="4:20" ht="15.75" thickBot="1"/>
    <row r="42" spans="4:20" ht="15.75" thickBot="1">
      <c r="E42" s="16"/>
      <c r="F42" s="40"/>
      <c r="G42" s="41"/>
      <c r="H42" s="41" t="s">
        <v>33</v>
      </c>
      <c r="I42" s="41"/>
      <c r="J42" s="56"/>
      <c r="K42" s="41" t="s">
        <v>37</v>
      </c>
      <c r="L42" s="41"/>
      <c r="M42" s="41"/>
      <c r="N42" s="56"/>
      <c r="O42" s="41" t="s">
        <v>47</v>
      </c>
      <c r="P42" s="57"/>
      <c r="Q42" s="57"/>
      <c r="R42" s="72" t="s">
        <v>53</v>
      </c>
      <c r="S42" s="57"/>
      <c r="T42" s="58"/>
    </row>
    <row r="43" spans="4:20">
      <c r="E43" s="3"/>
      <c r="F43" s="39" t="s">
        <v>34</v>
      </c>
      <c r="G43" s="39" t="s">
        <v>35</v>
      </c>
      <c r="H43" s="39" t="s">
        <v>36</v>
      </c>
      <c r="J43" s="39" t="s">
        <v>34</v>
      </c>
      <c r="K43" s="39" t="s">
        <v>35</v>
      </c>
      <c r="L43" s="39" t="s">
        <v>36</v>
      </c>
      <c r="M43" s="7"/>
      <c r="N43" s="39" t="s">
        <v>34</v>
      </c>
      <c r="O43" s="39" t="s">
        <v>35</v>
      </c>
      <c r="P43" s="39" t="s">
        <v>36</v>
      </c>
      <c r="R43" s="39" t="s">
        <v>34</v>
      </c>
      <c r="S43" s="39" t="s">
        <v>35</v>
      </c>
      <c r="T43" s="39" t="s">
        <v>36</v>
      </c>
    </row>
    <row r="44" spans="4:20">
      <c r="F44" s="7"/>
      <c r="G44" s="7"/>
      <c r="H44" s="7"/>
      <c r="J44" s="7"/>
      <c r="K44" s="7"/>
      <c r="L44" s="7"/>
      <c r="M44" s="7"/>
      <c r="N44" s="7"/>
      <c r="O44" s="7"/>
      <c r="P44" s="7"/>
      <c r="R44" s="71"/>
    </row>
    <row r="45" spans="4:20">
      <c r="E45" s="3" t="s">
        <v>52</v>
      </c>
      <c r="F45" s="8">
        <v>350</v>
      </c>
      <c r="G45" s="69">
        <v>298.5</v>
      </c>
      <c r="H45" s="78">
        <f>F45*G45</f>
        <v>104475</v>
      </c>
      <c r="J45" s="8">
        <v>820</v>
      </c>
      <c r="K45" s="8">
        <f>365620/870</f>
        <v>420.25287356321837</v>
      </c>
      <c r="L45" s="80">
        <f>J45*K45</f>
        <v>344607.35632183909</v>
      </c>
      <c r="M45" s="7"/>
      <c r="N45" s="8">
        <v>320</v>
      </c>
      <c r="O45" s="35">
        <f>244980/330</f>
        <v>742.36363636363637</v>
      </c>
      <c r="P45" s="80">
        <f>+N45*O45</f>
        <v>237556.36363636365</v>
      </c>
      <c r="R45" s="8">
        <f>+N45+J45+F45</f>
        <v>1490</v>
      </c>
      <c r="S45" s="35">
        <f>244980/330</f>
        <v>742.36363636363637</v>
      </c>
      <c r="T45" s="9">
        <f>+P45+L45+H45</f>
        <v>686638.71995820268</v>
      </c>
    </row>
    <row r="46" spans="4:20">
      <c r="E46" s="3"/>
      <c r="F46" s="8"/>
      <c r="G46" s="69"/>
      <c r="H46" s="66"/>
      <c r="J46" s="8"/>
      <c r="K46" s="8"/>
      <c r="L46" s="9"/>
      <c r="M46" s="7"/>
      <c r="N46" s="8"/>
      <c r="O46" s="35"/>
      <c r="P46" s="35"/>
      <c r="R46" s="8"/>
      <c r="S46" s="35"/>
      <c r="T46" s="35"/>
    </row>
    <row r="47" spans="4:20">
      <c r="E47" s="3" t="s">
        <v>54</v>
      </c>
      <c r="F47" s="79">
        <f>+H45</f>
        <v>104475</v>
      </c>
      <c r="G47" s="67">
        <f>+I15</f>
        <v>0.12709449301855888</v>
      </c>
      <c r="H47" s="66">
        <f>+F47*G47</f>
        <v>13278.197158113939</v>
      </c>
      <c r="J47" s="78">
        <f>L45</f>
        <v>344607.35632183909</v>
      </c>
      <c r="K47" s="67">
        <f>G47</f>
        <v>0.12709449301855888</v>
      </c>
      <c r="L47" s="9">
        <f>+J47*K47</f>
        <v>43797.697242190014</v>
      </c>
      <c r="M47" s="7"/>
      <c r="N47" s="80">
        <f>P45</f>
        <v>237556.36363636365</v>
      </c>
      <c r="O47" s="67">
        <f>+K47</f>
        <v>0.12709449301855888</v>
      </c>
      <c r="P47" s="9">
        <f>+N47*O47</f>
        <v>30192.105599696053</v>
      </c>
      <c r="R47" s="9">
        <f>T45</f>
        <v>686638.71995820268</v>
      </c>
      <c r="S47" s="67">
        <f>+O47</f>
        <v>0.12709449301855888</v>
      </c>
      <c r="T47" s="9">
        <f>+R47*S47</f>
        <v>87268</v>
      </c>
    </row>
    <row r="48" spans="4:20">
      <c r="E48" s="3" t="s">
        <v>55</v>
      </c>
      <c r="F48" s="79">
        <f>+F47</f>
        <v>104475</v>
      </c>
      <c r="G48" s="67">
        <f>+J15</f>
        <v>0.28200273939079196</v>
      </c>
      <c r="H48" s="66">
        <f>+F48*G48</f>
        <v>29462.236197852988</v>
      </c>
      <c r="J48" s="66">
        <f>J47</f>
        <v>344607.35632183909</v>
      </c>
      <c r="K48" s="67">
        <f>G48</f>
        <v>0.28200273939079196</v>
      </c>
      <c r="L48" s="9">
        <f>+J48*K48</f>
        <v>97180.218496977366</v>
      </c>
      <c r="M48" s="7"/>
      <c r="N48" s="9">
        <f>N47</f>
        <v>237556.36363636365</v>
      </c>
      <c r="O48" s="67">
        <f>+K48</f>
        <v>0.28200273939079196</v>
      </c>
      <c r="P48" s="9">
        <f>+N48*O48</f>
        <v>66991.545305169668</v>
      </c>
      <c r="R48" s="9">
        <f>R47</f>
        <v>686638.71995820268</v>
      </c>
      <c r="S48" s="67">
        <f>+O48</f>
        <v>0.28200273939079196</v>
      </c>
      <c r="T48" s="9">
        <f>+R48*S48</f>
        <v>193634</v>
      </c>
    </row>
    <row r="49" spans="5:20">
      <c r="E49" s="3" t="s">
        <v>56</v>
      </c>
      <c r="F49" s="8">
        <v>350</v>
      </c>
      <c r="G49" s="68">
        <f>+K15</f>
        <v>101.66107382550335</v>
      </c>
      <c r="H49" s="66">
        <f>F49*G49</f>
        <v>35581.375838926171</v>
      </c>
      <c r="J49" s="8">
        <v>820</v>
      </c>
      <c r="K49" s="68">
        <f>G49</f>
        <v>101.66107382550335</v>
      </c>
      <c r="L49" s="9">
        <f>J49*K49</f>
        <v>83362.080536912748</v>
      </c>
      <c r="M49" s="7"/>
      <c r="N49" s="8">
        <v>320</v>
      </c>
      <c r="O49" s="68">
        <f>G49</f>
        <v>101.66107382550335</v>
      </c>
      <c r="P49" s="9">
        <f>N49*O49</f>
        <v>32531.543624161073</v>
      </c>
      <c r="R49" s="8">
        <f>+R45</f>
        <v>1490</v>
      </c>
      <c r="S49" s="68">
        <f>K49</f>
        <v>101.66107382550335</v>
      </c>
      <c r="T49" s="9">
        <f>R49*S49</f>
        <v>151475</v>
      </c>
    </row>
    <row r="50" spans="5:20">
      <c r="E50" s="3"/>
      <c r="F50" s="8"/>
      <c r="G50" s="8"/>
      <c r="H50" s="66"/>
      <c r="J50" s="8"/>
      <c r="K50" s="8"/>
      <c r="L50" s="8"/>
      <c r="M50" s="7"/>
      <c r="N50" s="8"/>
      <c r="O50" s="8"/>
      <c r="P50" s="8"/>
      <c r="R50" s="8"/>
      <c r="S50" s="8"/>
      <c r="T50" s="8"/>
    </row>
    <row r="51" spans="5:20">
      <c r="E51" s="65" t="s">
        <v>65</v>
      </c>
      <c r="F51" s="8">
        <v>350</v>
      </c>
      <c r="G51" s="69">
        <f>+H51/F51</f>
        <v>522.27659769969455</v>
      </c>
      <c r="H51" s="66">
        <f>SUM(H45:H49)</f>
        <v>182796.80919489311</v>
      </c>
      <c r="J51" s="8">
        <f>J49</f>
        <v>820</v>
      </c>
      <c r="K51" s="69">
        <f>+L51/J51</f>
        <v>693.83823487551115</v>
      </c>
      <c r="L51" s="66">
        <f>SUM(L45:L49)</f>
        <v>568947.35259791918</v>
      </c>
      <c r="M51" s="7"/>
      <c r="N51" s="8">
        <f>+N49</f>
        <v>320</v>
      </c>
      <c r="O51" s="69">
        <f>+P51/N51</f>
        <v>1147.7236192668449</v>
      </c>
      <c r="P51" s="66">
        <f>SUM(P45:P49)</f>
        <v>367271.55816539039</v>
      </c>
      <c r="R51" s="8">
        <f>+R49</f>
        <v>1490</v>
      </c>
      <c r="S51" s="73">
        <f>+T51/R51</f>
        <v>751.0172617169145</v>
      </c>
      <c r="T51" s="66">
        <f>SUM(T45:T49)</f>
        <v>1119015.7199582027</v>
      </c>
    </row>
    <row r="52" spans="5:20">
      <c r="E52" s="3"/>
      <c r="F52" s="8"/>
      <c r="G52" s="8"/>
      <c r="H52" s="66"/>
      <c r="J52" s="8"/>
      <c r="K52" s="8"/>
      <c r="L52" s="8"/>
      <c r="M52" s="7"/>
      <c r="N52" s="8"/>
      <c r="O52" s="8"/>
      <c r="P52" s="8"/>
      <c r="R52" s="8"/>
      <c r="S52" s="73"/>
      <c r="T52" s="8"/>
    </row>
    <row r="53" spans="5:20">
      <c r="E53" s="3" t="s">
        <v>63</v>
      </c>
      <c r="F53" s="8">
        <v>350</v>
      </c>
      <c r="G53" s="8">
        <v>500</v>
      </c>
      <c r="H53" s="66">
        <f>+G53*F53</f>
        <v>175000</v>
      </c>
      <c r="J53" s="8">
        <f>+J51</f>
        <v>820</v>
      </c>
      <c r="K53" s="8">
        <v>850</v>
      </c>
      <c r="L53" s="66">
        <f>+K53*J53</f>
        <v>697000</v>
      </c>
      <c r="M53" s="7"/>
      <c r="N53" s="8">
        <f>+N49</f>
        <v>320</v>
      </c>
      <c r="O53" s="8">
        <v>1400</v>
      </c>
      <c r="P53" s="66">
        <f>+O53*N53</f>
        <v>448000</v>
      </c>
      <c r="R53" s="8">
        <f>+R51</f>
        <v>1490</v>
      </c>
      <c r="S53" s="73">
        <f>+T53/R53</f>
        <v>885.90604026845642</v>
      </c>
      <c r="T53" s="66">
        <f>+P53+L53+H53</f>
        <v>1320000</v>
      </c>
    </row>
    <row r="54" spans="5:20">
      <c r="E54" s="3"/>
      <c r="F54" s="8"/>
      <c r="G54" s="8"/>
      <c r="H54" s="66"/>
      <c r="J54" s="8"/>
      <c r="K54" s="8"/>
      <c r="L54" s="66"/>
      <c r="M54" s="7"/>
      <c r="N54" s="8"/>
      <c r="O54" s="8"/>
      <c r="P54" s="66"/>
      <c r="R54" s="8"/>
      <c r="S54" s="73"/>
      <c r="T54" s="66"/>
    </row>
    <row r="55" spans="5:20">
      <c r="E55" s="3" t="s">
        <v>64</v>
      </c>
      <c r="F55" s="8">
        <v>350</v>
      </c>
      <c r="G55" s="66">
        <f>H55/F55</f>
        <v>-22.276597699694602</v>
      </c>
      <c r="H55" s="66">
        <f>H53-H51</f>
        <v>-7796.8091948931105</v>
      </c>
      <c r="J55" s="8">
        <f>+J53</f>
        <v>820</v>
      </c>
      <c r="K55" s="66">
        <f>L55/J55</f>
        <v>156.1617651244888</v>
      </c>
      <c r="L55" s="66">
        <f>L53-L51</f>
        <v>128052.64740208082</v>
      </c>
      <c r="M55" s="7"/>
      <c r="N55" s="8">
        <f>+N53</f>
        <v>320</v>
      </c>
      <c r="O55" s="66">
        <f>P55/N55</f>
        <v>252.27638073315501</v>
      </c>
      <c r="P55" s="66">
        <f>P53-P51</f>
        <v>80728.441834609606</v>
      </c>
      <c r="R55" s="8">
        <f>+R53</f>
        <v>1490</v>
      </c>
      <c r="S55" s="74">
        <f>+S53-S51</f>
        <v>134.88877855154192</v>
      </c>
      <c r="T55" s="66">
        <f>T53-T51</f>
        <v>200984.28004179732</v>
      </c>
    </row>
    <row r="56" spans="5:20">
      <c r="F56" s="7"/>
      <c r="G56" s="7"/>
      <c r="H56" s="70">
        <f>+H55/H53</f>
        <v>-4.4553195399389206E-2</v>
      </c>
      <c r="I56" s="32"/>
      <c r="J56" s="7"/>
      <c r="K56" s="7"/>
      <c r="L56" s="70">
        <f>+L55/L53</f>
        <v>0.1837197236758692</v>
      </c>
      <c r="M56" s="7"/>
      <c r="N56" s="7"/>
      <c r="O56" s="7"/>
      <c r="P56" s="70">
        <f>+P55/P53</f>
        <v>0.18019741480939644</v>
      </c>
      <c r="T56" s="70">
        <f>+T55/T53</f>
        <v>0.15226081821348281</v>
      </c>
    </row>
    <row r="58" spans="5:20">
      <c r="E58" t="s">
        <v>68</v>
      </c>
    </row>
    <row r="59" spans="5:20">
      <c r="E59" t="s">
        <v>66</v>
      </c>
    </row>
    <row r="60" spans="5:20">
      <c r="E60" t="s">
        <v>67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Université Paris Ouest Nanterre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2019-09-27T20:44:42Z</dcterms:created>
  <dcterms:modified xsi:type="dcterms:W3CDTF">2019-11-23T11:49:41Z</dcterms:modified>
</cp:coreProperties>
</file>