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86" windowWidth="15375" windowHeight="8370" firstSheet="1" activeTab="1"/>
  </bookViews>
  <sheets>
    <sheet name="Trame de réponse CC " sheetId="1" r:id="rId1"/>
    <sheet name="Sections Homogènes" sheetId="2" r:id="rId2"/>
    <sheet name="ABC" sheetId="3" r:id="rId3"/>
  </sheets>
  <definedNames>
    <definedName name="_xlnm.Print_Area" localSheetId="2">'ABC'!$A$1:$N$69</definedName>
    <definedName name="_xlnm.Print_Area" localSheetId="1">'Sections Homogènes'!$A$1:$Q$54</definedName>
  </definedNames>
  <calcPr fullCalcOnLoad="1"/>
</workbook>
</file>

<file path=xl/sharedStrings.xml><?xml version="1.0" encoding="utf-8"?>
<sst xmlns="http://schemas.openxmlformats.org/spreadsheetml/2006/main" count="433" uniqueCount="117">
  <si>
    <t>Plannification</t>
  </si>
  <si>
    <t>GRH</t>
  </si>
  <si>
    <t>Entretien</t>
  </si>
  <si>
    <t>Achats</t>
  </si>
  <si>
    <t>Usinage</t>
  </si>
  <si>
    <t>Montage</t>
  </si>
  <si>
    <t>Commercial</t>
  </si>
  <si>
    <t>TOTAL</t>
  </si>
  <si>
    <t>Centres Auxiliaires</t>
  </si>
  <si>
    <t>Centres Principaux</t>
  </si>
  <si>
    <t xml:space="preserve">Etudes </t>
  </si>
  <si>
    <t>Administration</t>
  </si>
  <si>
    <t>Centres de structure</t>
  </si>
  <si>
    <t>Répartition primaire</t>
  </si>
  <si>
    <t>Repart GRH</t>
  </si>
  <si>
    <t>clé GRH</t>
  </si>
  <si>
    <t>clé Plannification</t>
  </si>
  <si>
    <t>Répart Plannification</t>
  </si>
  <si>
    <t>clé Entretien</t>
  </si>
  <si>
    <t>Répart Entretien</t>
  </si>
  <si>
    <t>Valeur d'achat
des composants</t>
  </si>
  <si>
    <t>Heure de
main d'œuvre</t>
  </si>
  <si>
    <t>Unité d'Œuvres</t>
  </si>
  <si>
    <t>M100</t>
  </si>
  <si>
    <t>M500</t>
  </si>
  <si>
    <t>Quantité</t>
  </si>
  <si>
    <t>Prix Unitaire</t>
  </si>
  <si>
    <t>Charges directes d'achat 
des composants</t>
  </si>
  <si>
    <t>Charges indirectes d'achat 
des composants</t>
  </si>
  <si>
    <t>Cout total d'achat
des composants</t>
  </si>
  <si>
    <t>Charges directes
d'usinage</t>
  </si>
  <si>
    <t>Charges indirectes
d'usinage</t>
  </si>
  <si>
    <t>Total charges
d'usinage</t>
  </si>
  <si>
    <t>Charges directes
de montage</t>
  </si>
  <si>
    <t>Charges indirectes
de montage</t>
  </si>
  <si>
    <t>Total charges
de montage</t>
  </si>
  <si>
    <t>Coût de Production</t>
  </si>
  <si>
    <t>Coût de Revient</t>
  </si>
  <si>
    <t>Charges des Coûts de Structures</t>
  </si>
  <si>
    <t>Coût de Revient
Unitaire</t>
  </si>
  <si>
    <t>Prix de Vente unitaire</t>
  </si>
  <si>
    <t>Marge</t>
  </si>
  <si>
    <t>COUT DES
ACTIVITES</t>
  </si>
  <si>
    <t>VOLUME DE
L'INDUCTEUR</t>
  </si>
  <si>
    <t>Nombre de séries</t>
  </si>
  <si>
    <t>Nombre de fournisseurs</t>
  </si>
  <si>
    <t>Nombre d'heures de
main-d'œuvre</t>
  </si>
  <si>
    <t>Nombre de types de moteur</t>
  </si>
  <si>
    <t>Nombre de clients</t>
  </si>
  <si>
    <t>Contrôle</t>
  </si>
  <si>
    <t>Entretien préventif</t>
  </si>
  <si>
    <t>COUT UNITAIRE DE
L'INDUCTEUR</t>
  </si>
  <si>
    <t>Cas G.E.E.</t>
  </si>
  <si>
    <t>Coût de revient =</t>
  </si>
  <si>
    <t>Coût d'achat</t>
  </si>
  <si>
    <t>Coût de poduction</t>
  </si>
  <si>
    <t>Autres charge fixes (indirectes)</t>
  </si>
  <si>
    <t>+</t>
  </si>
  <si>
    <t>Répartition des charges indirectes</t>
  </si>
  <si>
    <t>Centre d'analyse</t>
  </si>
  <si>
    <t>main d'œuvre</t>
  </si>
  <si>
    <t>Autres charges</t>
  </si>
  <si>
    <t>Amortissements</t>
  </si>
  <si>
    <t>Francs de main d'œuvre des centres utilisateurs de main d'œuvre</t>
  </si>
  <si>
    <t>Heure de main d'œuvre directe des ateliers</t>
  </si>
  <si>
    <t>Attention: quand on répartit un centre d'analyse dans les autres, il convient de retirer du total la part de ce centre et de ne pas le répartir dans lui-même.</t>
  </si>
  <si>
    <t>Pour savoir à quels centres et à quelle hauteur on répartit un centre, on prend en compte son unité d'œuvre.</t>
  </si>
  <si>
    <t>Total par centre</t>
  </si>
  <si>
    <t>Volume/valeur UO</t>
  </si>
  <si>
    <t>Coût d'achat et de production</t>
  </si>
  <si>
    <t>Part dans le coût de production</t>
  </si>
  <si>
    <t>Il s'agit de rassembler les activités ayant le même inducteur de coût.</t>
  </si>
  <si>
    <t>Le nombre de lignes du tableau dépendra du nombre d'inducteurs.</t>
  </si>
  <si>
    <t>INDUCTEURS</t>
  </si>
  <si>
    <t>ACTIVITES</t>
  </si>
  <si>
    <t>Nombre d'heures machine</t>
  </si>
  <si>
    <t>Plannif &amp; cont. de la production</t>
  </si>
  <si>
    <t>Les coûts ajoutés correspondent aux activités non réparties, qui n'ont pas d'inducteurs de coût. Il convient de les prendre en compte.</t>
  </si>
  <si>
    <t>Total</t>
  </si>
  <si>
    <t>Nombre de références de composants *
Nombre de séries</t>
  </si>
  <si>
    <t>Pour obtenir le volume d'un inducteur, on n'oubliera pas de comptabiliser le volume qui ne correspond qu'à l'activité concernée.</t>
  </si>
  <si>
    <t xml:space="preserve">Coût des inducteurs </t>
  </si>
  <si>
    <t>Calcul du coût unitaire des M100 et M500</t>
  </si>
  <si>
    <t>MOD de production</t>
  </si>
  <si>
    <t>quantité</t>
  </si>
  <si>
    <t>C.U.</t>
  </si>
  <si>
    <t>Activités non réparties</t>
  </si>
  <si>
    <t>Ici, le coût de production se décompose en coût direct et coût indirect de production (=coût ajouté) auxquels on ajoute les activités non réparties et les composants (matières premières).</t>
  </si>
  <si>
    <t>Coût ajouté</t>
  </si>
  <si>
    <t>Coût total ajouté</t>
  </si>
  <si>
    <t>Activités non réparties totales</t>
  </si>
  <si>
    <t>Composants</t>
  </si>
  <si>
    <t>Prix de vente</t>
  </si>
  <si>
    <t>Coût de revient unitaire</t>
  </si>
  <si>
    <t>Coût unitaire</t>
  </si>
  <si>
    <t>Résultat unitaire</t>
  </si>
  <si>
    <t>Part à répartir (c.u. de l'inducteur Ct ajouté)</t>
  </si>
  <si>
    <r>
      <t xml:space="preserve"> Le coût de production s'obtient en faisant la somme des différents coûts de production directs et indirects </t>
    </r>
    <r>
      <rPr>
        <b/>
        <sz val="11"/>
        <rFont val="Arial"/>
        <family val="0"/>
      </rPr>
      <t>et</t>
    </r>
    <r>
      <rPr>
        <sz val="11"/>
        <rFont val="Arial"/>
        <family val="0"/>
      </rPr>
      <t xml:space="preserve"> le coût d'achat des composants. </t>
    </r>
  </si>
  <si>
    <t>Il s'agit de distinguer  les centre d'analyse auxiliaires des centres d'analyse principaux. Les charges du centre principal peuvent être imputées grâce aux unités d'œuvres. 
Les centres d'analyse auxiliaires désignent des services qui travaillent pour l'ensemble de l'entreprise.</t>
  </si>
  <si>
    <t>On commence par répartir les centres qui se s'allouent au plus grand nombre de centres</t>
  </si>
  <si>
    <t xml:space="preserve">Coût unitaire </t>
  </si>
  <si>
    <t xml:space="preserve">Calcul clé GRH pour planification </t>
  </si>
  <si>
    <t>16000/(2954000-5000) = 5,5%</t>
  </si>
  <si>
    <t xml:space="preserve">Calcul du montant de  répartition GRH sur planif </t>
  </si>
  <si>
    <r>
      <t xml:space="preserve">60000* 5,5% = </t>
    </r>
    <r>
      <rPr>
        <b/>
        <sz val="11"/>
        <color indexed="10"/>
        <rFont val="Arial"/>
        <family val="2"/>
      </rPr>
      <t>3306</t>
    </r>
  </si>
  <si>
    <t xml:space="preserve">UO heures MO directes des ateliers donc répartition sur  les deux centre usinage et montage  </t>
  </si>
  <si>
    <t xml:space="preserve">Calcul clé planification pour Usinage </t>
  </si>
  <si>
    <t xml:space="preserve">Calcul du montant de  répartition planification sur usinage </t>
  </si>
  <si>
    <t>(Heures MO usinage M100 + Heures MO usinage M500)/ (total heures MO M100 + total heures MO M500)</t>
  </si>
  <si>
    <t>(6000+1800)/(18000+7800)= 0,3</t>
  </si>
  <si>
    <t>Clé répartition usinage * (planification + part de la répartition GRH sur planification)</t>
  </si>
  <si>
    <t>0,3 (178400+3306)=54934,31</t>
  </si>
  <si>
    <t xml:space="preserve">Je répartis maintenant les centres Planif et entretien </t>
  </si>
  <si>
    <t>Montant (cu induct*nb induct)</t>
  </si>
  <si>
    <t>Répartition des charges indirectes entre les centres d'analyse</t>
  </si>
  <si>
    <t>Calcul du coût de revient</t>
  </si>
  <si>
    <t>On associera à chaque inducteur les activités, leur coût et le volume de l'inducteur pour en déduire le coût unitaire de l'inducteur.</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</si>
</sst>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0\ _€_-;\-* #,##0.0\ _€_-;_-* &quot;-&quot;??\ _€_-;_-@_-"/>
    <numFmt numFmtId="167" formatCode="_-* #,##0\ _€_-;\-* #,##0\ _€_-;_-* &quot;-&quot;??\ _€_-;_-@_-"/>
    <numFmt numFmtId="168" formatCode="#,##0_ ;\-#,##0\ "/>
  </numFmts>
  <fonts count="57">
    <font>
      <sz val="10"/>
      <name val="Arial"/>
      <family val="0"/>
    </font>
    <font>
      <b/>
      <sz val="12"/>
      <name val="Arial"/>
      <family val="2"/>
    </font>
    <font>
      <sz val="12"/>
      <name val="Arial"/>
      <family val="0"/>
    </font>
    <font>
      <b/>
      <sz val="16"/>
      <name val="Arial"/>
      <family val="2"/>
    </font>
    <font>
      <sz val="11"/>
      <name val="Arial"/>
      <family val="0"/>
    </font>
    <font>
      <b/>
      <sz val="11"/>
      <name val="Arial"/>
      <family val="0"/>
    </font>
    <font>
      <b/>
      <sz val="20"/>
      <name val="Arial"/>
      <family val="0"/>
    </font>
    <font>
      <i/>
      <sz val="11"/>
      <name val="Arial"/>
      <family val="0"/>
    </font>
    <font>
      <b/>
      <i/>
      <sz val="11"/>
      <name val="Arial"/>
      <family val="0"/>
    </font>
    <font>
      <b/>
      <sz val="11"/>
      <color indexed="10"/>
      <name val="Arial"/>
      <family val="2"/>
    </font>
    <font>
      <sz val="14"/>
      <name val="Arial"/>
      <family val="2"/>
    </font>
    <font>
      <b/>
      <sz val="14"/>
      <name val="Arial"/>
      <family val="2"/>
    </font>
    <font>
      <sz val="16"/>
      <name val="Arial"/>
      <family val="2"/>
    </font>
    <font>
      <sz val="2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56"/>
      <name val="Arial"/>
      <family val="2"/>
    </font>
    <font>
      <b/>
      <i/>
      <sz val="11"/>
      <color indexed="10"/>
      <name val="Arial"/>
      <family val="2"/>
    </font>
    <font>
      <i/>
      <sz val="11"/>
      <color indexed="10"/>
      <name val="Arial"/>
      <family val="2"/>
    </font>
    <font>
      <sz val="11"/>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Arial"/>
      <family val="2"/>
    </font>
    <font>
      <b/>
      <sz val="11"/>
      <color rgb="FF002060"/>
      <name val="Arial"/>
      <family val="2"/>
    </font>
    <font>
      <b/>
      <i/>
      <sz val="11"/>
      <color rgb="FFFF0000"/>
      <name val="Arial"/>
      <family val="2"/>
    </font>
    <font>
      <i/>
      <sz val="11"/>
      <color rgb="FFFF0000"/>
      <name val="Arial"/>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style="medium"/>
    </border>
    <border>
      <left style="thin"/>
      <right style="thin"/>
      <top>
        <color indexed="63"/>
      </top>
      <bottom style="medium"/>
    </border>
    <border>
      <left>
        <color indexed="63"/>
      </left>
      <right style="medium"/>
      <top>
        <color indexed="63"/>
      </top>
      <bottom>
        <color indexed="63"/>
      </bottom>
    </border>
    <border>
      <left style="medium"/>
      <right>
        <color indexed="63"/>
      </right>
      <top style="medium"/>
      <bottom style="medium"/>
    </border>
    <border>
      <left style="thin"/>
      <right style="thin"/>
      <top style="thin"/>
      <bottom style="medium"/>
    </border>
    <border>
      <left>
        <color indexed="63"/>
      </left>
      <right style="medium"/>
      <top>
        <color indexed="63"/>
      </top>
      <bottom style="medium"/>
    </border>
    <border>
      <left style="medium"/>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style="thin"/>
      <top style="thin"/>
      <bottom style="thin"/>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style="medium"/>
      <right style="thin"/>
      <top style="medium"/>
      <bottom>
        <color indexed="63"/>
      </bottom>
    </border>
    <border>
      <left style="thin"/>
      <right style="medium"/>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thin"/>
    </border>
    <border>
      <left>
        <color indexed="63"/>
      </left>
      <right style="thin"/>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medium"/>
      <bottom style="thin"/>
    </border>
    <border>
      <left style="thin"/>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medium"/>
      <right style="thin"/>
      <top>
        <color indexed="63"/>
      </top>
      <bottom style="medium"/>
    </border>
    <border>
      <left style="medium"/>
      <right style="thin"/>
      <top style="medium"/>
      <bottom style="medium"/>
    </border>
    <border>
      <left>
        <color indexed="63"/>
      </left>
      <right>
        <color indexed="63"/>
      </right>
      <top>
        <color indexed="63"/>
      </top>
      <bottom style="thin"/>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style="medium"/>
      <bottom style="thin"/>
    </border>
    <border>
      <left style="medium"/>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316">
    <xf numFmtId="0" fontId="0" fillId="0" borderId="0" xfId="0" applyAlignment="1">
      <alignment/>
    </xf>
    <xf numFmtId="4" fontId="2" fillId="0" borderId="10" xfId="0" applyNumberFormat="1" applyFont="1" applyBorder="1" applyAlignment="1">
      <alignment/>
    </xf>
    <xf numFmtId="4" fontId="2" fillId="0" borderId="11" xfId="0" applyNumberFormat="1" applyFont="1" applyBorder="1" applyAlignment="1">
      <alignment/>
    </xf>
    <xf numFmtId="4" fontId="2" fillId="0" borderId="12" xfId="0" applyNumberFormat="1" applyFont="1" applyBorder="1" applyAlignment="1">
      <alignment/>
    </xf>
    <xf numFmtId="4" fontId="2" fillId="0" borderId="13" xfId="0" applyNumberFormat="1" applyFont="1" applyBorder="1" applyAlignment="1">
      <alignment/>
    </xf>
    <xf numFmtId="4" fontId="2" fillId="0" borderId="14" xfId="0" applyNumberFormat="1" applyFont="1" applyBorder="1" applyAlignment="1">
      <alignment/>
    </xf>
    <xf numFmtId="4" fontId="2" fillId="0" borderId="15" xfId="0" applyNumberFormat="1" applyFont="1" applyBorder="1" applyAlignment="1">
      <alignment/>
    </xf>
    <xf numFmtId="4" fontId="2" fillId="0" borderId="12" xfId="0" applyNumberFormat="1" applyFont="1" applyBorder="1" applyAlignment="1">
      <alignment wrapText="1"/>
    </xf>
    <xf numFmtId="4" fontId="2" fillId="0" borderId="16" xfId="0" applyNumberFormat="1" applyFont="1" applyBorder="1" applyAlignment="1">
      <alignment/>
    </xf>
    <xf numFmtId="4" fontId="1" fillId="0" borderId="17" xfId="0" applyNumberFormat="1" applyFont="1" applyBorder="1" applyAlignment="1">
      <alignment/>
    </xf>
    <xf numFmtId="4" fontId="2" fillId="0" borderId="13" xfId="0" applyNumberFormat="1" applyFont="1" applyBorder="1" applyAlignment="1">
      <alignment horizontal="center"/>
    </xf>
    <xf numFmtId="4" fontId="2" fillId="33" borderId="18" xfId="0" applyNumberFormat="1" applyFont="1" applyFill="1" applyBorder="1" applyAlignment="1">
      <alignment horizontal="center"/>
    </xf>
    <xf numFmtId="4" fontId="2" fillId="33" borderId="19" xfId="0" applyNumberFormat="1" applyFont="1" applyFill="1" applyBorder="1" applyAlignment="1">
      <alignment horizontal="center"/>
    </xf>
    <xf numFmtId="4" fontId="1" fillId="33" borderId="20" xfId="0" applyNumberFormat="1" applyFont="1" applyFill="1" applyBorder="1" applyAlignment="1">
      <alignment/>
    </xf>
    <xf numFmtId="4" fontId="2" fillId="33" borderId="21" xfId="0" applyNumberFormat="1" applyFont="1" applyFill="1" applyBorder="1" applyAlignment="1">
      <alignment horizontal="center"/>
    </xf>
    <xf numFmtId="4" fontId="2" fillId="0" borderId="12" xfId="0" applyNumberFormat="1" applyFont="1" applyBorder="1" applyAlignment="1">
      <alignment wrapText="1" shrinkToFit="1"/>
    </xf>
    <xf numFmtId="10" fontId="2" fillId="0" borderId="11" xfId="50" applyNumberFormat="1" applyFont="1" applyBorder="1" applyAlignment="1">
      <alignment/>
    </xf>
    <xf numFmtId="4" fontId="2" fillId="33" borderId="12" xfId="0" applyNumberFormat="1" applyFont="1" applyFill="1" applyBorder="1" applyAlignment="1">
      <alignment/>
    </xf>
    <xf numFmtId="4" fontId="2" fillId="33" borderId="13" xfId="0" applyNumberFormat="1" applyFont="1" applyFill="1" applyBorder="1" applyAlignment="1">
      <alignment/>
    </xf>
    <xf numFmtId="4" fontId="2" fillId="33" borderId="22" xfId="0" applyNumberFormat="1" applyFont="1" applyFill="1" applyBorder="1" applyAlignment="1">
      <alignment/>
    </xf>
    <xf numFmtId="4" fontId="2" fillId="33" borderId="15" xfId="0" applyNumberFormat="1" applyFont="1" applyFill="1" applyBorder="1" applyAlignment="1">
      <alignment/>
    </xf>
    <xf numFmtId="0" fontId="2" fillId="0" borderId="0" xfId="0" applyFont="1" applyAlignment="1">
      <alignment/>
    </xf>
    <xf numFmtId="0" fontId="2" fillId="0" borderId="0" xfId="0" applyFont="1" applyAlignment="1">
      <alignment horizontal="center" vertical="center"/>
    </xf>
    <xf numFmtId="4" fontId="2" fillId="0" borderId="13" xfId="0" applyNumberFormat="1" applyFont="1" applyBorder="1" applyAlignment="1">
      <alignment wrapText="1"/>
    </xf>
    <xf numFmtId="4" fontId="2" fillId="0" borderId="23" xfId="0" applyNumberFormat="1" applyFont="1" applyBorder="1" applyAlignment="1">
      <alignment/>
    </xf>
    <xf numFmtId="4" fontId="2" fillId="0" borderId="24" xfId="0" applyNumberFormat="1" applyFont="1" applyBorder="1" applyAlignment="1">
      <alignment wrapText="1"/>
    </xf>
    <xf numFmtId="4" fontId="2" fillId="0" borderId="25" xfId="0" applyNumberFormat="1" applyFont="1" applyBorder="1" applyAlignment="1">
      <alignment/>
    </xf>
    <xf numFmtId="4" fontId="2" fillId="0" borderId="26" xfId="0" applyNumberFormat="1" applyFont="1" applyBorder="1" applyAlignment="1">
      <alignment wrapText="1"/>
    </xf>
    <xf numFmtId="4" fontId="2" fillId="0" borderId="26" xfId="0" applyNumberFormat="1" applyFont="1" applyBorder="1" applyAlignment="1">
      <alignment/>
    </xf>
    <xf numFmtId="4" fontId="2" fillId="0" borderId="25" xfId="0" applyNumberFormat="1" applyFont="1" applyBorder="1" applyAlignment="1">
      <alignment wrapText="1"/>
    </xf>
    <xf numFmtId="4" fontId="1" fillId="33" borderId="17" xfId="0" applyNumberFormat="1" applyFont="1" applyFill="1" applyBorder="1" applyAlignment="1">
      <alignment horizontal="center" vertical="center"/>
    </xf>
    <xf numFmtId="4" fontId="1" fillId="33" borderId="27" xfId="0" applyNumberFormat="1" applyFont="1" applyFill="1" applyBorder="1" applyAlignment="1">
      <alignment horizontal="center" vertical="center"/>
    </xf>
    <xf numFmtId="4" fontId="1" fillId="33" borderId="28" xfId="0" applyNumberFormat="1" applyFont="1" applyFill="1" applyBorder="1" applyAlignment="1">
      <alignment horizontal="center" vertical="center" wrapText="1"/>
    </xf>
    <xf numFmtId="4" fontId="1" fillId="33" borderId="27" xfId="0" applyNumberFormat="1" applyFont="1" applyFill="1" applyBorder="1" applyAlignment="1">
      <alignment horizontal="center" vertical="center" wrapText="1"/>
    </xf>
    <xf numFmtId="4" fontId="1" fillId="33" borderId="29" xfId="0" applyNumberFormat="1" applyFont="1" applyFill="1" applyBorder="1" applyAlignment="1">
      <alignment horizontal="center" vertical="center" wrapText="1"/>
    </xf>
    <xf numFmtId="0" fontId="3" fillId="0" borderId="0" xfId="0" applyFont="1" applyAlignment="1">
      <alignment/>
    </xf>
    <xf numFmtId="4" fontId="1" fillId="0" borderId="20" xfId="0" applyNumberFormat="1" applyFont="1" applyBorder="1" applyAlignment="1">
      <alignment wrapText="1"/>
    </xf>
    <xf numFmtId="4" fontId="2" fillId="0" borderId="22" xfId="0" applyNumberFormat="1" applyFont="1" applyBorder="1" applyAlignment="1">
      <alignment wrapText="1"/>
    </xf>
    <xf numFmtId="4" fontId="1" fillId="0" borderId="30" xfId="0" applyNumberFormat="1" applyFont="1" applyBorder="1" applyAlignment="1">
      <alignment/>
    </xf>
    <xf numFmtId="4" fontId="1" fillId="0" borderId="31" xfId="0" applyNumberFormat="1" applyFont="1" applyBorder="1" applyAlignment="1">
      <alignment/>
    </xf>
    <xf numFmtId="4" fontId="2" fillId="0" borderId="10" xfId="0" applyNumberFormat="1" applyFont="1" applyBorder="1" applyAlignment="1">
      <alignment wrapText="1"/>
    </xf>
    <xf numFmtId="4" fontId="2" fillId="0" borderId="13" xfId="0" applyNumberFormat="1" applyFont="1" applyBorder="1" applyAlignment="1">
      <alignment/>
    </xf>
    <xf numFmtId="4" fontId="1" fillId="0" borderId="32" xfId="0" applyNumberFormat="1" applyFont="1" applyBorder="1" applyAlignment="1">
      <alignment/>
    </xf>
    <xf numFmtId="4" fontId="2" fillId="0" borderId="17" xfId="0" applyNumberFormat="1" applyFont="1" applyBorder="1" applyAlignment="1">
      <alignment wrapText="1"/>
    </xf>
    <xf numFmtId="4" fontId="2" fillId="0" borderId="33" xfId="0" applyNumberFormat="1" applyFont="1" applyBorder="1" applyAlignment="1">
      <alignment horizontal="center"/>
    </xf>
    <xf numFmtId="4" fontId="2" fillId="0" borderId="30" xfId="0" applyNumberFormat="1" applyFont="1" applyBorder="1" applyAlignment="1">
      <alignment horizontal="center"/>
    </xf>
    <xf numFmtId="4" fontId="2" fillId="0" borderId="31" xfId="0" applyNumberFormat="1" applyFont="1" applyBorder="1" applyAlignment="1">
      <alignment horizontal="center"/>
    </xf>
    <xf numFmtId="4" fontId="2" fillId="0" borderId="27" xfId="0" applyNumberFormat="1" applyFont="1" applyBorder="1" applyAlignment="1">
      <alignment horizontal="center"/>
    </xf>
    <xf numFmtId="4" fontId="2" fillId="0" borderId="34" xfId="0" applyNumberFormat="1" applyFont="1" applyBorder="1" applyAlignment="1">
      <alignment horizontal="center"/>
    </xf>
    <xf numFmtId="4" fontId="2" fillId="0" borderId="13" xfId="0" applyNumberFormat="1" applyFont="1" applyBorder="1" applyAlignment="1">
      <alignment horizontal="center"/>
    </xf>
    <xf numFmtId="4" fontId="2" fillId="0" borderId="11" xfId="0" applyNumberFormat="1" applyFont="1" applyBorder="1" applyAlignment="1">
      <alignment horizontal="center"/>
    </xf>
    <xf numFmtId="4" fontId="1" fillId="33" borderId="0" xfId="0" applyNumberFormat="1" applyFont="1" applyFill="1" applyBorder="1" applyAlignment="1">
      <alignment/>
    </xf>
    <xf numFmtId="4" fontId="1" fillId="33" borderId="13" xfId="0" applyNumberFormat="1" applyFont="1" applyFill="1" applyBorder="1" applyAlignment="1">
      <alignment/>
    </xf>
    <xf numFmtId="4" fontId="1" fillId="33" borderId="35" xfId="0" applyNumberFormat="1" applyFont="1" applyFill="1" applyBorder="1" applyAlignment="1">
      <alignment/>
    </xf>
    <xf numFmtId="4" fontId="1" fillId="33" borderId="15" xfId="0" applyNumberFormat="1" applyFont="1" applyFill="1" applyBorder="1" applyAlignment="1">
      <alignment/>
    </xf>
    <xf numFmtId="8" fontId="1" fillId="33" borderId="27" xfId="0" applyNumberFormat="1" applyFont="1" applyFill="1" applyBorder="1" applyAlignment="1">
      <alignment horizontal="center" vertical="center"/>
    </xf>
    <xf numFmtId="4" fontId="2" fillId="33" borderId="22" xfId="0" applyNumberFormat="1" applyFont="1" applyFill="1" applyBorder="1" applyAlignment="1">
      <alignment horizontal="right"/>
    </xf>
    <xf numFmtId="4" fontId="2" fillId="33" borderId="15" xfId="0" applyNumberFormat="1" applyFont="1" applyFill="1" applyBorder="1" applyAlignment="1">
      <alignment wrapText="1"/>
    </xf>
    <xf numFmtId="4" fontId="4" fillId="0" borderId="0" xfId="0" applyNumberFormat="1" applyFont="1" applyAlignment="1">
      <alignment/>
    </xf>
    <xf numFmtId="4" fontId="5" fillId="0" borderId="0" xfId="0" applyNumberFormat="1" applyFont="1" applyAlignment="1">
      <alignment/>
    </xf>
    <xf numFmtId="4" fontId="4" fillId="0" borderId="0" xfId="0" applyNumberFormat="1" applyFont="1" applyAlignment="1">
      <alignment horizontal="right"/>
    </xf>
    <xf numFmtId="4" fontId="5" fillId="0" borderId="0" xfId="0" applyNumberFormat="1" applyFont="1" applyAlignment="1">
      <alignment horizontal="left"/>
    </xf>
    <xf numFmtId="4" fontId="4" fillId="0" borderId="0" xfId="0" applyNumberFormat="1" applyFont="1" applyAlignment="1">
      <alignment horizontal="left" wrapText="1"/>
    </xf>
    <xf numFmtId="4" fontId="4" fillId="33" borderId="32" xfId="0" applyNumberFormat="1" applyFont="1" applyFill="1" applyBorder="1" applyAlignment="1">
      <alignment/>
    </xf>
    <xf numFmtId="4" fontId="5" fillId="33" borderId="36" xfId="0" applyNumberFormat="1" applyFont="1" applyFill="1" applyBorder="1" applyAlignment="1">
      <alignment horizontal="center"/>
    </xf>
    <xf numFmtId="4" fontId="4" fillId="33" borderId="37" xfId="0" applyNumberFormat="1" applyFont="1" applyFill="1" applyBorder="1" applyAlignment="1">
      <alignment horizontal="center"/>
    </xf>
    <xf numFmtId="4" fontId="4" fillId="33" borderId="38" xfId="0" applyNumberFormat="1" applyFont="1" applyFill="1" applyBorder="1" applyAlignment="1">
      <alignment horizontal="center"/>
    </xf>
    <xf numFmtId="4" fontId="4" fillId="33" borderId="39" xfId="0" applyNumberFormat="1" applyFont="1" applyFill="1" applyBorder="1" applyAlignment="1">
      <alignment horizontal="center"/>
    </xf>
    <xf numFmtId="4" fontId="4" fillId="33" borderId="40" xfId="0" applyNumberFormat="1" applyFont="1" applyFill="1" applyBorder="1" applyAlignment="1">
      <alignment horizontal="center"/>
    </xf>
    <xf numFmtId="4" fontId="4" fillId="33" borderId="41" xfId="0" applyNumberFormat="1" applyFont="1" applyFill="1" applyBorder="1" applyAlignment="1">
      <alignment horizontal="center"/>
    </xf>
    <xf numFmtId="4" fontId="4" fillId="33" borderId="42" xfId="0" applyNumberFormat="1" applyFont="1" applyFill="1" applyBorder="1" applyAlignment="1">
      <alignment horizontal="center"/>
    </xf>
    <xf numFmtId="4" fontId="4" fillId="33" borderId="40" xfId="0" applyNumberFormat="1" applyFont="1" applyFill="1" applyBorder="1" applyAlignment="1">
      <alignment horizontal="center" wrapText="1"/>
    </xf>
    <xf numFmtId="4" fontId="5" fillId="33" borderId="21" xfId="0" applyNumberFormat="1" applyFont="1" applyFill="1" applyBorder="1" applyAlignment="1">
      <alignment horizontal="center"/>
    </xf>
    <xf numFmtId="4" fontId="7" fillId="0" borderId="10" xfId="0" applyNumberFormat="1" applyFont="1" applyBorder="1" applyAlignment="1">
      <alignment horizontal="right"/>
    </xf>
    <xf numFmtId="4" fontId="7" fillId="0" borderId="10" xfId="0" applyNumberFormat="1" applyFont="1" applyBorder="1" applyAlignment="1">
      <alignment/>
    </xf>
    <xf numFmtId="10" fontId="7" fillId="0" borderId="43" xfId="50" applyNumberFormat="1" applyFont="1" applyBorder="1" applyAlignment="1">
      <alignment/>
    </xf>
    <xf numFmtId="10" fontId="7" fillId="0" borderId="11" xfId="50" applyNumberFormat="1" applyFont="1" applyBorder="1" applyAlignment="1">
      <alignment/>
    </xf>
    <xf numFmtId="9" fontId="8" fillId="0" borderId="10" xfId="50" applyFont="1" applyBorder="1" applyAlignment="1">
      <alignment/>
    </xf>
    <xf numFmtId="4" fontId="7" fillId="0" borderId="0" xfId="0" applyNumberFormat="1" applyFont="1" applyAlignment="1">
      <alignment/>
    </xf>
    <xf numFmtId="4" fontId="4" fillId="0" borderId="10" xfId="0" applyNumberFormat="1" applyFont="1" applyBorder="1" applyAlignment="1">
      <alignment/>
    </xf>
    <xf numFmtId="4" fontId="4" fillId="0" borderId="43" xfId="0" applyNumberFormat="1" applyFont="1" applyBorder="1" applyAlignment="1">
      <alignment/>
    </xf>
    <xf numFmtId="4" fontId="4" fillId="0" borderId="11" xfId="0" applyNumberFormat="1" applyFont="1" applyBorder="1" applyAlignment="1">
      <alignment/>
    </xf>
    <xf numFmtId="4" fontId="5" fillId="0" borderId="10" xfId="0" applyNumberFormat="1" applyFont="1" applyBorder="1" applyAlignment="1">
      <alignment/>
    </xf>
    <xf numFmtId="4" fontId="7" fillId="0" borderId="43" xfId="0" applyNumberFormat="1" applyFont="1" applyBorder="1" applyAlignment="1">
      <alignment/>
    </xf>
    <xf numFmtId="4" fontId="7" fillId="0" borderId="0" xfId="0" applyNumberFormat="1" applyFont="1" applyBorder="1" applyAlignment="1">
      <alignment/>
    </xf>
    <xf numFmtId="4" fontId="7" fillId="0" borderId="11" xfId="0" applyNumberFormat="1" applyFont="1" applyBorder="1" applyAlignment="1">
      <alignment/>
    </xf>
    <xf numFmtId="4" fontId="7" fillId="0" borderId="44" xfId="0" applyNumberFormat="1" applyFont="1" applyBorder="1" applyAlignment="1">
      <alignment/>
    </xf>
    <xf numFmtId="4" fontId="4" fillId="0" borderId="0" xfId="0" applyNumberFormat="1" applyFont="1" applyBorder="1" applyAlignment="1">
      <alignment/>
    </xf>
    <xf numFmtId="4" fontId="4" fillId="0" borderId="12" xfId="0" applyNumberFormat="1" applyFont="1" applyBorder="1" applyAlignment="1">
      <alignment/>
    </xf>
    <xf numFmtId="4" fontId="4" fillId="0" borderId="13" xfId="0" applyNumberFormat="1" applyFont="1" applyBorder="1" applyAlignment="1">
      <alignment/>
    </xf>
    <xf numFmtId="9" fontId="5" fillId="0" borderId="10" xfId="50" applyFont="1" applyBorder="1" applyAlignment="1">
      <alignment/>
    </xf>
    <xf numFmtId="4" fontId="4" fillId="0" borderId="13" xfId="0" applyNumberFormat="1" applyFont="1" applyBorder="1" applyAlignment="1">
      <alignment horizontal="center" wrapText="1"/>
    </xf>
    <xf numFmtId="4" fontId="4" fillId="0" borderId="11" xfId="0" applyNumberFormat="1" applyFont="1" applyBorder="1" applyAlignment="1">
      <alignment horizontal="center" wrapText="1"/>
    </xf>
    <xf numFmtId="4" fontId="4" fillId="0" borderId="0" xfId="0" applyNumberFormat="1" applyFont="1" applyBorder="1" applyAlignment="1">
      <alignment wrapText="1"/>
    </xf>
    <xf numFmtId="4" fontId="4" fillId="0" borderId="13" xfId="0" applyNumberFormat="1" applyFont="1" applyBorder="1" applyAlignment="1">
      <alignment wrapText="1"/>
    </xf>
    <xf numFmtId="4" fontId="4" fillId="0" borderId="11" xfId="0" applyNumberFormat="1" applyFont="1" applyBorder="1" applyAlignment="1">
      <alignment wrapText="1"/>
    </xf>
    <xf numFmtId="4" fontId="4" fillId="0" borderId="12" xfId="0" applyNumberFormat="1" applyFont="1" applyBorder="1" applyAlignment="1">
      <alignment wrapText="1"/>
    </xf>
    <xf numFmtId="4" fontId="5" fillId="0" borderId="43" xfId="0" applyNumberFormat="1" applyFont="1" applyBorder="1" applyAlignment="1">
      <alignment/>
    </xf>
    <xf numFmtId="4" fontId="5" fillId="0" borderId="0" xfId="0" applyNumberFormat="1" applyFont="1" applyBorder="1" applyAlignment="1">
      <alignment/>
    </xf>
    <xf numFmtId="4" fontId="5" fillId="0" borderId="44" xfId="0" applyNumberFormat="1" applyFont="1" applyBorder="1" applyAlignment="1">
      <alignment/>
    </xf>
    <xf numFmtId="4" fontId="5" fillId="0" borderId="45" xfId="0" applyNumberFormat="1" applyFont="1" applyBorder="1" applyAlignment="1">
      <alignment/>
    </xf>
    <xf numFmtId="4" fontId="4" fillId="33" borderId="46" xfId="0" applyNumberFormat="1" applyFont="1" applyFill="1" applyBorder="1" applyAlignment="1">
      <alignment/>
    </xf>
    <xf numFmtId="4" fontId="4" fillId="33" borderId="35" xfId="0" applyNumberFormat="1" applyFont="1" applyFill="1" applyBorder="1" applyAlignment="1">
      <alignment/>
    </xf>
    <xf numFmtId="4" fontId="4" fillId="33" borderId="14" xfId="0" applyNumberFormat="1" applyFont="1" applyFill="1" applyBorder="1" applyAlignment="1">
      <alignment/>
    </xf>
    <xf numFmtId="4" fontId="4" fillId="33" borderId="47" xfId="0" applyNumberFormat="1" applyFont="1" applyFill="1" applyBorder="1" applyAlignment="1">
      <alignment/>
    </xf>
    <xf numFmtId="4" fontId="5" fillId="0" borderId="0" xfId="0" applyNumberFormat="1" applyFont="1" applyAlignment="1">
      <alignment/>
    </xf>
    <xf numFmtId="4" fontId="5" fillId="33" borderId="20" xfId="0" applyNumberFormat="1" applyFont="1" applyFill="1" applyBorder="1" applyAlignment="1">
      <alignment/>
    </xf>
    <xf numFmtId="4" fontId="4" fillId="33" borderId="21" xfId="0" applyNumberFormat="1" applyFont="1" applyFill="1" applyBorder="1" applyAlignment="1">
      <alignment horizontal="center"/>
    </xf>
    <xf numFmtId="4" fontId="4" fillId="33" borderId="22" xfId="0" applyNumberFormat="1" applyFont="1" applyFill="1" applyBorder="1" applyAlignment="1">
      <alignment horizontal="center"/>
    </xf>
    <xf numFmtId="4" fontId="4" fillId="33" borderId="18" xfId="0" applyNumberFormat="1" applyFont="1" applyFill="1" applyBorder="1" applyAlignment="1">
      <alignment horizontal="center"/>
    </xf>
    <xf numFmtId="4" fontId="4" fillId="33" borderId="19" xfId="0" applyNumberFormat="1" applyFont="1" applyFill="1" applyBorder="1" applyAlignment="1">
      <alignment horizontal="center"/>
    </xf>
    <xf numFmtId="4" fontId="4" fillId="33" borderId="35" xfId="0" applyNumberFormat="1" applyFont="1" applyFill="1" applyBorder="1" applyAlignment="1">
      <alignment horizontal="center"/>
    </xf>
    <xf numFmtId="4" fontId="4" fillId="0" borderId="0" xfId="0" applyNumberFormat="1" applyFont="1" applyAlignment="1">
      <alignment horizontal="center"/>
    </xf>
    <xf numFmtId="4" fontId="5" fillId="0" borderId="0" xfId="0" applyNumberFormat="1" applyFont="1" applyAlignment="1">
      <alignment horizontal="center"/>
    </xf>
    <xf numFmtId="4" fontId="4" fillId="0" borderId="13" xfId="0" applyNumberFormat="1" applyFont="1" applyBorder="1" applyAlignment="1">
      <alignment horizontal="center"/>
    </xf>
    <xf numFmtId="4" fontId="5" fillId="0" borderId="17" xfId="0" applyNumberFormat="1" applyFont="1" applyBorder="1" applyAlignment="1">
      <alignment wrapText="1"/>
    </xf>
    <xf numFmtId="4" fontId="5" fillId="0" borderId="17" xfId="0" applyNumberFormat="1" applyFont="1" applyBorder="1" applyAlignment="1">
      <alignment/>
    </xf>
    <xf numFmtId="4" fontId="5" fillId="0" borderId="27" xfId="0" applyNumberFormat="1" applyFont="1" applyBorder="1" applyAlignment="1">
      <alignment/>
    </xf>
    <xf numFmtId="4" fontId="5" fillId="0" borderId="29" xfId="0" applyNumberFormat="1" applyFont="1" applyBorder="1" applyAlignment="1">
      <alignment/>
    </xf>
    <xf numFmtId="4" fontId="5" fillId="0" borderId="28" xfId="0" applyNumberFormat="1" applyFont="1" applyBorder="1" applyAlignment="1">
      <alignment/>
    </xf>
    <xf numFmtId="4" fontId="5" fillId="0" borderId="12" xfId="0" applyNumberFormat="1" applyFont="1" applyBorder="1" applyAlignment="1">
      <alignment/>
    </xf>
    <xf numFmtId="4" fontId="4" fillId="0" borderId="12" xfId="0" applyNumberFormat="1" applyFont="1" applyBorder="1" applyAlignment="1">
      <alignment wrapText="1" shrinkToFit="1"/>
    </xf>
    <xf numFmtId="10" fontId="4" fillId="0" borderId="16" xfId="50" applyNumberFormat="1" applyFont="1" applyBorder="1" applyAlignment="1">
      <alignment/>
    </xf>
    <xf numFmtId="10" fontId="4" fillId="0" borderId="0" xfId="50" applyNumberFormat="1" applyFont="1" applyBorder="1" applyAlignment="1">
      <alignment/>
    </xf>
    <xf numFmtId="10" fontId="4" fillId="0" borderId="13" xfId="50" applyNumberFormat="1" applyFont="1" applyBorder="1" applyAlignment="1">
      <alignment/>
    </xf>
    <xf numFmtId="3" fontId="4" fillId="0" borderId="43" xfId="0" applyNumberFormat="1" applyFont="1" applyBorder="1" applyAlignment="1">
      <alignment horizontal="right"/>
    </xf>
    <xf numFmtId="3" fontId="4" fillId="0" borderId="0" xfId="0" applyNumberFormat="1" applyFont="1" applyBorder="1" applyAlignment="1">
      <alignment horizontal="right"/>
    </xf>
    <xf numFmtId="3" fontId="4" fillId="0" borderId="11" xfId="0" applyNumberFormat="1" applyFont="1" applyBorder="1" applyAlignment="1">
      <alignment horizontal="right"/>
    </xf>
    <xf numFmtId="3" fontId="4" fillId="0" borderId="48" xfId="0" applyNumberFormat="1" applyFont="1" applyBorder="1" applyAlignment="1">
      <alignment horizontal="right"/>
    </xf>
    <xf numFmtId="3" fontId="5" fillId="0" borderId="10" xfId="0" applyNumberFormat="1" applyFont="1" applyBorder="1" applyAlignment="1">
      <alignment horizontal="right"/>
    </xf>
    <xf numFmtId="3" fontId="4" fillId="0" borderId="44" xfId="0" applyNumberFormat="1" applyFont="1" applyBorder="1" applyAlignment="1">
      <alignment horizontal="right" wrapText="1"/>
    </xf>
    <xf numFmtId="3" fontId="4" fillId="0" borderId="43" xfId="0" applyNumberFormat="1" applyFont="1" applyBorder="1" applyAlignment="1">
      <alignment/>
    </xf>
    <xf numFmtId="3" fontId="4" fillId="0" borderId="11" xfId="0" applyNumberFormat="1" applyFont="1" applyBorder="1" applyAlignment="1">
      <alignment/>
    </xf>
    <xf numFmtId="3" fontId="5" fillId="0" borderId="10" xfId="0" applyNumberFormat="1" applyFont="1" applyBorder="1" applyAlignment="1">
      <alignment/>
    </xf>
    <xf numFmtId="3" fontId="4" fillId="0" borderId="0" xfId="0" applyNumberFormat="1" applyFont="1" applyBorder="1" applyAlignment="1">
      <alignment/>
    </xf>
    <xf numFmtId="3" fontId="4" fillId="0" borderId="12" xfId="0" applyNumberFormat="1" applyFont="1" applyBorder="1" applyAlignment="1">
      <alignment/>
    </xf>
    <xf numFmtId="3" fontId="4" fillId="0" borderId="13" xfId="0" applyNumberFormat="1" applyFont="1" applyBorder="1" applyAlignment="1">
      <alignment/>
    </xf>
    <xf numFmtId="3" fontId="4" fillId="0" borderId="44" xfId="0" applyNumberFormat="1" applyFont="1" applyBorder="1" applyAlignment="1">
      <alignment/>
    </xf>
    <xf numFmtId="3" fontId="4" fillId="0" borderId="16" xfId="0" applyNumberFormat="1" applyFont="1" applyBorder="1" applyAlignment="1">
      <alignment/>
    </xf>
    <xf numFmtId="3" fontId="5" fillId="0" borderId="12" xfId="0" applyNumberFormat="1" applyFont="1" applyBorder="1" applyAlignment="1">
      <alignment/>
    </xf>
    <xf numFmtId="3" fontId="5" fillId="0" borderId="13" xfId="0" applyNumberFormat="1" applyFont="1" applyBorder="1" applyAlignment="1">
      <alignment/>
    </xf>
    <xf numFmtId="3" fontId="5" fillId="0" borderId="16" xfId="0" applyNumberFormat="1" applyFont="1" applyBorder="1" applyAlignment="1">
      <alignment/>
    </xf>
    <xf numFmtId="3" fontId="5" fillId="0" borderId="20" xfId="0" applyNumberFormat="1" applyFont="1" applyBorder="1" applyAlignment="1">
      <alignment/>
    </xf>
    <xf numFmtId="3" fontId="5" fillId="0" borderId="30" xfId="0" applyNumberFormat="1" applyFont="1" applyBorder="1" applyAlignment="1">
      <alignment/>
    </xf>
    <xf numFmtId="3" fontId="4" fillId="0" borderId="15" xfId="0" applyNumberFormat="1" applyFont="1" applyBorder="1" applyAlignment="1">
      <alignment/>
    </xf>
    <xf numFmtId="4" fontId="5" fillId="34" borderId="49" xfId="0" applyNumberFormat="1" applyFont="1" applyFill="1" applyBorder="1" applyAlignment="1">
      <alignment/>
    </xf>
    <xf numFmtId="3" fontId="5" fillId="34" borderId="50" xfId="0" applyNumberFormat="1" applyFont="1" applyFill="1" applyBorder="1" applyAlignment="1">
      <alignment/>
    </xf>
    <xf numFmtId="3" fontId="5" fillId="34" borderId="51" xfId="0" applyNumberFormat="1" applyFont="1" applyFill="1" applyBorder="1" applyAlignment="1">
      <alignment/>
    </xf>
    <xf numFmtId="3" fontId="5" fillId="34" borderId="52" xfId="0" applyNumberFormat="1" applyFont="1" applyFill="1" applyBorder="1" applyAlignment="1">
      <alignment/>
    </xf>
    <xf numFmtId="3" fontId="5" fillId="34" borderId="49" xfId="0" applyNumberFormat="1" applyFont="1" applyFill="1" applyBorder="1" applyAlignment="1">
      <alignment horizontal="right"/>
    </xf>
    <xf numFmtId="3" fontId="5" fillId="34" borderId="26" xfId="0" applyNumberFormat="1" applyFont="1" applyFill="1" applyBorder="1" applyAlignment="1">
      <alignment/>
    </xf>
    <xf numFmtId="3" fontId="5" fillId="34" borderId="49" xfId="0" applyNumberFormat="1" applyFont="1" applyFill="1" applyBorder="1" applyAlignment="1">
      <alignment/>
    </xf>
    <xf numFmtId="4" fontId="5" fillId="0" borderId="10" xfId="0" applyNumberFormat="1" applyFont="1" applyBorder="1" applyAlignment="1">
      <alignment/>
    </xf>
    <xf numFmtId="4" fontId="4" fillId="0" borderId="0" xfId="0" applyNumberFormat="1" applyFont="1" applyBorder="1" applyAlignment="1">
      <alignment horizontal="center" wrapText="1"/>
    </xf>
    <xf numFmtId="4" fontId="5" fillId="33" borderId="46" xfId="0" applyNumberFormat="1" applyFont="1" applyFill="1" applyBorder="1" applyAlignment="1">
      <alignment horizontal="center"/>
    </xf>
    <xf numFmtId="4" fontId="5" fillId="33" borderId="35" xfId="0" applyNumberFormat="1" applyFont="1" applyFill="1" applyBorder="1" applyAlignment="1">
      <alignment horizontal="center"/>
    </xf>
    <xf numFmtId="4" fontId="5" fillId="33" borderId="14" xfId="0" applyNumberFormat="1" applyFont="1" applyFill="1" applyBorder="1" applyAlignment="1">
      <alignment horizontal="center"/>
    </xf>
    <xf numFmtId="4" fontId="5" fillId="34" borderId="17" xfId="0" applyNumberFormat="1" applyFont="1" applyFill="1" applyBorder="1" applyAlignment="1">
      <alignment wrapText="1"/>
    </xf>
    <xf numFmtId="4" fontId="5" fillId="34" borderId="17" xfId="0" applyNumberFormat="1" applyFont="1" applyFill="1" applyBorder="1" applyAlignment="1">
      <alignment/>
    </xf>
    <xf numFmtId="4" fontId="5" fillId="34" borderId="27" xfId="0" applyNumberFormat="1" applyFont="1" applyFill="1" applyBorder="1" applyAlignment="1">
      <alignment/>
    </xf>
    <xf numFmtId="3" fontId="5" fillId="34" borderId="29" xfId="0" applyNumberFormat="1" applyFont="1" applyFill="1" applyBorder="1" applyAlignment="1">
      <alignment/>
    </xf>
    <xf numFmtId="3" fontId="5" fillId="34" borderId="28" xfId="0" applyNumberFormat="1" applyFont="1" applyFill="1" applyBorder="1" applyAlignment="1">
      <alignment/>
    </xf>
    <xf numFmtId="3" fontId="5" fillId="34" borderId="27" xfId="0" applyNumberFormat="1" applyFont="1" applyFill="1" applyBorder="1" applyAlignment="1">
      <alignment/>
    </xf>
    <xf numFmtId="3" fontId="5" fillId="34" borderId="17" xfId="0" applyNumberFormat="1" applyFont="1" applyFill="1" applyBorder="1" applyAlignment="1">
      <alignment/>
    </xf>
    <xf numFmtId="4" fontId="5" fillId="0" borderId="12" xfId="0" applyNumberFormat="1" applyFont="1" applyBorder="1" applyAlignment="1">
      <alignment/>
    </xf>
    <xf numFmtId="4" fontId="5" fillId="0" borderId="13" xfId="0" applyNumberFormat="1" applyFont="1" applyBorder="1" applyAlignment="1">
      <alignment/>
    </xf>
    <xf numFmtId="4" fontId="5" fillId="0" borderId="16" xfId="0" applyNumberFormat="1" applyFont="1" applyBorder="1" applyAlignment="1">
      <alignment/>
    </xf>
    <xf numFmtId="4" fontId="5" fillId="0" borderId="0" xfId="0" applyNumberFormat="1" applyFont="1" applyBorder="1" applyAlignment="1">
      <alignment/>
    </xf>
    <xf numFmtId="4" fontId="5" fillId="34" borderId="29" xfId="0" applyNumberFormat="1" applyFont="1" applyFill="1" applyBorder="1" applyAlignment="1">
      <alignment/>
    </xf>
    <xf numFmtId="4" fontId="5" fillId="34" borderId="28" xfId="0" applyNumberFormat="1" applyFont="1" applyFill="1" applyBorder="1" applyAlignment="1">
      <alignment/>
    </xf>
    <xf numFmtId="4" fontId="6" fillId="34" borderId="0" xfId="0" applyNumberFormat="1" applyFont="1" applyFill="1" applyAlignment="1">
      <alignment horizontal="center"/>
    </xf>
    <xf numFmtId="0" fontId="2" fillId="34" borderId="0" xfId="0" applyFont="1" applyFill="1" applyAlignment="1">
      <alignment horizontal="center"/>
    </xf>
    <xf numFmtId="167" fontId="1" fillId="0" borderId="33" xfId="45" applyNumberFormat="1" applyFont="1" applyBorder="1" applyAlignment="1">
      <alignment/>
    </xf>
    <xf numFmtId="167" fontId="2" fillId="0" borderId="45" xfId="45" applyNumberFormat="1" applyFont="1" applyBorder="1" applyAlignment="1">
      <alignment/>
    </xf>
    <xf numFmtId="167" fontId="2" fillId="0" borderId="45" xfId="45" applyNumberFormat="1" applyFont="1" applyBorder="1" applyAlignment="1">
      <alignment/>
    </xf>
    <xf numFmtId="167" fontId="2" fillId="0" borderId="53" xfId="45" applyNumberFormat="1" applyFont="1" applyBorder="1" applyAlignment="1">
      <alignment/>
    </xf>
    <xf numFmtId="167" fontId="1" fillId="0" borderId="17" xfId="45" applyNumberFormat="1" applyFont="1" applyBorder="1" applyAlignment="1">
      <alignment/>
    </xf>
    <xf numFmtId="167" fontId="1" fillId="0" borderId="30" xfId="45" applyNumberFormat="1" applyFont="1" applyBorder="1" applyAlignment="1">
      <alignment/>
    </xf>
    <xf numFmtId="167" fontId="2" fillId="0" borderId="13" xfId="45" applyNumberFormat="1" applyFont="1" applyBorder="1" applyAlignment="1">
      <alignment/>
    </xf>
    <xf numFmtId="167" fontId="2" fillId="0" borderId="13" xfId="45" applyNumberFormat="1" applyFont="1" applyBorder="1" applyAlignment="1">
      <alignment horizontal="center"/>
    </xf>
    <xf numFmtId="167" fontId="2" fillId="0" borderId="13" xfId="45" applyNumberFormat="1" applyFont="1" applyBorder="1" applyAlignment="1">
      <alignment/>
    </xf>
    <xf numFmtId="167" fontId="2" fillId="0" borderId="15" xfId="45" applyNumberFormat="1" applyFont="1" applyBorder="1" applyAlignment="1">
      <alignment/>
    </xf>
    <xf numFmtId="167" fontId="2" fillId="0" borderId="54" xfId="45" applyNumberFormat="1" applyFont="1" applyBorder="1" applyAlignment="1">
      <alignment horizontal="center"/>
    </xf>
    <xf numFmtId="167" fontId="2" fillId="0" borderId="45" xfId="45" applyNumberFormat="1" applyFont="1" applyBorder="1" applyAlignment="1">
      <alignment horizontal="center"/>
    </xf>
    <xf numFmtId="4" fontId="1" fillId="34" borderId="23" xfId="0" applyNumberFormat="1" applyFont="1" applyFill="1" applyBorder="1" applyAlignment="1">
      <alignment horizontal="right"/>
    </xf>
    <xf numFmtId="4" fontId="1" fillId="34" borderId="24" xfId="0" applyNumberFormat="1" applyFont="1" applyFill="1" applyBorder="1" applyAlignment="1">
      <alignment wrapText="1"/>
    </xf>
    <xf numFmtId="167" fontId="2" fillId="0" borderId="0" xfId="45" applyNumberFormat="1" applyFont="1" applyBorder="1" applyAlignment="1">
      <alignment/>
    </xf>
    <xf numFmtId="167" fontId="2" fillId="0" borderId="16" xfId="45" applyNumberFormat="1" applyFont="1" applyBorder="1" applyAlignment="1">
      <alignment/>
    </xf>
    <xf numFmtId="167" fontId="1" fillId="34" borderId="55" xfId="45" applyNumberFormat="1" applyFont="1" applyFill="1" applyBorder="1" applyAlignment="1">
      <alignment/>
    </xf>
    <xf numFmtId="167" fontId="1" fillId="34" borderId="24" xfId="45" applyNumberFormat="1" applyFont="1" applyFill="1" applyBorder="1" applyAlignment="1">
      <alignment/>
    </xf>
    <xf numFmtId="167" fontId="1" fillId="34" borderId="16" xfId="45" applyNumberFormat="1" applyFont="1" applyFill="1" applyBorder="1" applyAlignment="1">
      <alignment/>
    </xf>
    <xf numFmtId="167" fontId="2" fillId="0" borderId="56" xfId="45" applyNumberFormat="1" applyFont="1" applyBorder="1" applyAlignment="1">
      <alignment/>
    </xf>
    <xf numFmtId="167" fontId="2" fillId="0" borderId="52" xfId="45" applyNumberFormat="1" applyFont="1" applyBorder="1" applyAlignment="1">
      <alignment/>
    </xf>
    <xf numFmtId="167" fontId="2" fillId="0" borderId="26" xfId="45" applyNumberFormat="1" applyFont="1" applyBorder="1" applyAlignment="1">
      <alignment/>
    </xf>
    <xf numFmtId="167" fontId="2" fillId="0" borderId="57" xfId="45" applyNumberFormat="1" applyFont="1" applyBorder="1" applyAlignment="1">
      <alignment/>
    </xf>
    <xf numFmtId="167" fontId="2" fillId="0" borderId="55" xfId="45" applyNumberFormat="1" applyFont="1" applyBorder="1" applyAlignment="1">
      <alignment/>
    </xf>
    <xf numFmtId="167" fontId="2" fillId="0" borderId="24" xfId="45" applyNumberFormat="1" applyFont="1" applyBorder="1" applyAlignment="1">
      <alignment/>
    </xf>
    <xf numFmtId="167" fontId="2" fillId="0" borderId="58" xfId="45" applyNumberFormat="1" applyFont="1" applyBorder="1" applyAlignment="1">
      <alignment/>
    </xf>
    <xf numFmtId="167" fontId="2" fillId="0" borderId="19" xfId="45" applyNumberFormat="1" applyFont="1" applyBorder="1" applyAlignment="1">
      <alignment/>
    </xf>
    <xf numFmtId="167" fontId="1" fillId="34" borderId="58" xfId="45" applyNumberFormat="1" applyFont="1" applyFill="1" applyBorder="1" applyAlignment="1">
      <alignment/>
    </xf>
    <xf numFmtId="4" fontId="2" fillId="0" borderId="48" xfId="0" applyNumberFormat="1" applyFont="1" applyFill="1" applyBorder="1" applyAlignment="1">
      <alignment wrapText="1"/>
    </xf>
    <xf numFmtId="167" fontId="2" fillId="0" borderId="59" xfId="45" applyNumberFormat="1" applyFont="1" applyFill="1" applyBorder="1" applyAlignment="1">
      <alignment/>
    </xf>
    <xf numFmtId="167" fontId="2" fillId="0" borderId="48" xfId="45" applyNumberFormat="1" applyFont="1" applyBorder="1" applyAlignment="1">
      <alignment/>
    </xf>
    <xf numFmtId="4" fontId="2" fillId="0" borderId="15" xfId="0" applyNumberFormat="1" applyFont="1" applyFill="1" applyBorder="1" applyAlignment="1">
      <alignment wrapText="1"/>
    </xf>
    <xf numFmtId="167" fontId="2" fillId="0" borderId="35" xfId="45" applyNumberFormat="1" applyFont="1" applyFill="1" applyBorder="1" applyAlignment="1">
      <alignment/>
    </xf>
    <xf numFmtId="4" fontId="1" fillId="34" borderId="17" xfId="0" applyNumberFormat="1" applyFont="1" applyFill="1" applyBorder="1" applyAlignment="1">
      <alignment wrapText="1"/>
    </xf>
    <xf numFmtId="9" fontId="2" fillId="0" borderId="0" xfId="50" applyFont="1" applyAlignment="1">
      <alignment/>
    </xf>
    <xf numFmtId="4" fontId="52" fillId="35" borderId="0" xfId="0" applyNumberFormat="1" applyFont="1" applyFill="1" applyAlignment="1">
      <alignment horizontal="left" wrapText="1"/>
    </xf>
    <xf numFmtId="4" fontId="53" fillId="2" borderId="0" xfId="0" applyNumberFormat="1" applyFont="1" applyFill="1" applyAlignment="1">
      <alignment horizontal="left" wrapText="1"/>
    </xf>
    <xf numFmtId="10" fontId="54" fillId="0" borderId="43" xfId="50" applyNumberFormat="1" applyFont="1" applyBorder="1" applyAlignment="1">
      <alignment/>
    </xf>
    <xf numFmtId="3" fontId="52" fillId="0" borderId="43" xfId="0" applyNumberFormat="1" applyFont="1" applyBorder="1" applyAlignment="1">
      <alignment/>
    </xf>
    <xf numFmtId="4" fontId="4" fillId="35" borderId="0" xfId="0" applyNumberFormat="1" applyFont="1" applyFill="1" applyAlignment="1">
      <alignment/>
    </xf>
    <xf numFmtId="4" fontId="4" fillId="0" borderId="0" xfId="0" applyNumberFormat="1" applyFont="1" applyFill="1" applyAlignment="1">
      <alignment/>
    </xf>
    <xf numFmtId="4" fontId="5" fillId="0" borderId="0" xfId="0" applyNumberFormat="1" applyFont="1" applyFill="1" applyBorder="1" applyAlignment="1">
      <alignment horizontal="center"/>
    </xf>
    <xf numFmtId="4" fontId="4" fillId="0" borderId="0" xfId="0" applyNumberFormat="1" applyFont="1" applyFill="1" applyBorder="1" applyAlignment="1">
      <alignment/>
    </xf>
    <xf numFmtId="4" fontId="5" fillId="0" borderId="0" xfId="0" applyNumberFormat="1" applyFont="1" applyFill="1" applyBorder="1" applyAlignment="1">
      <alignment horizontal="center"/>
    </xf>
    <xf numFmtId="3" fontId="52" fillId="0" borderId="0" xfId="0" applyNumberFormat="1" applyFont="1" applyBorder="1" applyAlignment="1">
      <alignment/>
    </xf>
    <xf numFmtId="4" fontId="4" fillId="0" borderId="43" xfId="0" applyNumberFormat="1" applyFont="1" applyBorder="1" applyAlignment="1">
      <alignment/>
    </xf>
    <xf numFmtId="10" fontId="4" fillId="0" borderId="43" xfId="50" applyNumberFormat="1" applyFont="1" applyBorder="1" applyAlignment="1">
      <alignment/>
    </xf>
    <xf numFmtId="3" fontId="4" fillId="0" borderId="43" xfId="0" applyNumberFormat="1" applyFont="1" applyBorder="1" applyAlignment="1">
      <alignment/>
    </xf>
    <xf numFmtId="4" fontId="4" fillId="35" borderId="39" xfId="0" applyNumberFormat="1" applyFont="1" applyFill="1" applyBorder="1" applyAlignment="1">
      <alignment horizontal="center"/>
    </xf>
    <xf numFmtId="4" fontId="4" fillId="35" borderId="38" xfId="0" applyNumberFormat="1" applyFont="1" applyFill="1" applyBorder="1" applyAlignment="1">
      <alignment horizontal="center"/>
    </xf>
    <xf numFmtId="4" fontId="4" fillId="35" borderId="40" xfId="0" applyNumberFormat="1" applyFont="1" applyFill="1" applyBorder="1" applyAlignment="1">
      <alignment horizontal="center"/>
    </xf>
    <xf numFmtId="4" fontId="5" fillId="35" borderId="40" xfId="0" applyNumberFormat="1" applyFont="1" applyFill="1" applyBorder="1" applyAlignment="1">
      <alignment horizontal="center"/>
    </xf>
    <xf numFmtId="4" fontId="10" fillId="0" borderId="0" xfId="0" applyNumberFormat="1" applyFont="1" applyFill="1" applyAlignment="1">
      <alignment/>
    </xf>
    <xf numFmtId="4" fontId="11" fillId="0" borderId="0" xfId="0" applyNumberFormat="1" applyFont="1" applyFill="1" applyBorder="1" applyAlignment="1">
      <alignment horizontal="center"/>
    </xf>
    <xf numFmtId="4" fontId="10" fillId="0" borderId="0" xfId="0" applyNumberFormat="1" applyFont="1" applyFill="1" applyBorder="1" applyAlignment="1">
      <alignment/>
    </xf>
    <xf numFmtId="4" fontId="55" fillId="0" borderId="0" xfId="0" applyNumberFormat="1" applyFont="1" applyBorder="1" applyAlignment="1">
      <alignment/>
    </xf>
    <xf numFmtId="4" fontId="56" fillId="0" borderId="0" xfId="0" applyNumberFormat="1" applyFont="1" applyBorder="1" applyAlignment="1">
      <alignment/>
    </xf>
    <xf numFmtId="4" fontId="54" fillId="0" borderId="0" xfId="0" applyNumberFormat="1" applyFont="1" applyBorder="1" applyAlignment="1">
      <alignment/>
    </xf>
    <xf numFmtId="4" fontId="52" fillId="0" borderId="0" xfId="0" applyNumberFormat="1" applyFont="1" applyBorder="1" applyAlignment="1">
      <alignment/>
    </xf>
    <xf numFmtId="4" fontId="4" fillId="35" borderId="42" xfId="0" applyNumberFormat="1" applyFont="1" applyFill="1" applyBorder="1" applyAlignment="1">
      <alignment horizontal="center"/>
    </xf>
    <xf numFmtId="4" fontId="55" fillId="0" borderId="11" xfId="0" applyNumberFormat="1" applyFont="1" applyBorder="1" applyAlignment="1">
      <alignment/>
    </xf>
    <xf numFmtId="4" fontId="56" fillId="0" borderId="11" xfId="0" applyNumberFormat="1" applyFont="1" applyBorder="1" applyAlignment="1">
      <alignment/>
    </xf>
    <xf numFmtId="3" fontId="52" fillId="0" borderId="11" xfId="0" applyNumberFormat="1" applyFont="1" applyBorder="1" applyAlignment="1">
      <alignment/>
    </xf>
    <xf numFmtId="4" fontId="4" fillId="13" borderId="42" xfId="0" applyNumberFormat="1" applyFont="1" applyFill="1" applyBorder="1" applyAlignment="1">
      <alignment horizontal="center"/>
    </xf>
    <xf numFmtId="4" fontId="4" fillId="13" borderId="40" xfId="0" applyNumberFormat="1" applyFont="1" applyFill="1" applyBorder="1" applyAlignment="1">
      <alignment horizontal="center"/>
    </xf>
    <xf numFmtId="4" fontId="54" fillId="0" borderId="11" xfId="0" applyNumberFormat="1" applyFont="1" applyBorder="1" applyAlignment="1">
      <alignment/>
    </xf>
    <xf numFmtId="4" fontId="52" fillId="0" borderId="11" xfId="0" applyNumberFormat="1" applyFont="1" applyBorder="1" applyAlignment="1">
      <alignment/>
    </xf>
    <xf numFmtId="3" fontId="52" fillId="34" borderId="52" xfId="0" applyNumberFormat="1" applyFont="1" applyFill="1" applyBorder="1" applyAlignment="1">
      <alignment/>
    </xf>
    <xf numFmtId="3" fontId="52" fillId="34" borderId="26" xfId="0" applyNumberFormat="1" applyFont="1" applyFill="1" applyBorder="1" applyAlignment="1">
      <alignment/>
    </xf>
    <xf numFmtId="3" fontId="52" fillId="34" borderId="51" xfId="0" applyNumberFormat="1" applyFont="1" applyFill="1" applyBorder="1" applyAlignment="1">
      <alignment/>
    </xf>
    <xf numFmtId="4" fontId="5" fillId="35" borderId="46" xfId="0" applyNumberFormat="1" applyFont="1" applyFill="1" applyBorder="1" applyAlignment="1">
      <alignment horizontal="center"/>
    </xf>
    <xf numFmtId="4" fontId="5" fillId="35" borderId="35" xfId="0" applyNumberFormat="1" applyFont="1" applyFill="1" applyBorder="1" applyAlignment="1">
      <alignment horizontal="center"/>
    </xf>
    <xf numFmtId="4" fontId="5" fillId="35" borderId="14" xfId="0" applyNumberFormat="1" applyFont="1" applyFill="1" applyBorder="1" applyAlignment="1">
      <alignment horizontal="center"/>
    </xf>
    <xf numFmtId="4" fontId="52" fillId="35" borderId="46" xfId="0" applyNumberFormat="1" applyFont="1" applyFill="1" applyBorder="1" applyAlignment="1">
      <alignment horizontal="center"/>
    </xf>
    <xf numFmtId="4" fontId="52" fillId="0" borderId="13" xfId="0" applyNumberFormat="1" applyFont="1" applyBorder="1" applyAlignment="1">
      <alignment horizontal="center"/>
    </xf>
    <xf numFmtId="4" fontId="3" fillId="0" borderId="0" xfId="0" applyNumberFormat="1" applyFont="1" applyAlignment="1">
      <alignment/>
    </xf>
    <xf numFmtId="4" fontId="2" fillId="0" borderId="0" xfId="0" applyNumberFormat="1" applyFont="1" applyFill="1" applyBorder="1" applyAlignment="1">
      <alignment horizontal="center"/>
    </xf>
    <xf numFmtId="4" fontId="2" fillId="0" borderId="0" xfId="0" applyNumberFormat="1" applyFont="1" applyFill="1" applyBorder="1" applyAlignment="1">
      <alignment wrapText="1"/>
    </xf>
    <xf numFmtId="167" fontId="2" fillId="0" borderId="0" xfId="45" applyNumberFormat="1" applyFont="1" applyFill="1" applyBorder="1" applyAlignment="1">
      <alignment/>
    </xf>
    <xf numFmtId="0" fontId="3" fillId="35" borderId="0" xfId="0" applyFont="1" applyFill="1" applyAlignment="1">
      <alignment/>
    </xf>
    <xf numFmtId="168" fontId="1" fillId="0" borderId="33" xfId="45" applyNumberFormat="1" applyFont="1" applyBorder="1" applyAlignment="1">
      <alignment/>
    </xf>
    <xf numFmtId="168" fontId="2" fillId="0" borderId="45" xfId="45" applyNumberFormat="1" applyFont="1" applyBorder="1" applyAlignment="1">
      <alignment/>
    </xf>
    <xf numFmtId="168" fontId="2" fillId="0" borderId="53" xfId="45" applyNumberFormat="1" applyFont="1" applyBorder="1" applyAlignment="1">
      <alignment/>
    </xf>
    <xf numFmtId="168" fontId="1" fillId="0" borderId="17" xfId="45" applyNumberFormat="1" applyFont="1" applyBorder="1" applyAlignment="1">
      <alignment/>
    </xf>
    <xf numFmtId="4" fontId="2" fillId="33" borderId="22" xfId="0" applyNumberFormat="1" applyFont="1" applyFill="1" applyBorder="1" applyAlignment="1">
      <alignment horizontal="center" wrapText="1"/>
    </xf>
    <xf numFmtId="4" fontId="6" fillId="34" borderId="0" xfId="0" applyNumberFormat="1" applyFont="1" applyFill="1" applyAlignment="1">
      <alignment horizontal="center"/>
    </xf>
    <xf numFmtId="4" fontId="5" fillId="0" borderId="20" xfId="0" applyNumberFormat="1" applyFont="1" applyBorder="1" applyAlignment="1">
      <alignment/>
    </xf>
    <xf numFmtId="4" fontId="5" fillId="0" borderId="30" xfId="0" applyNumberFormat="1" applyFont="1" applyBorder="1" applyAlignment="1">
      <alignment/>
    </xf>
    <xf numFmtId="4" fontId="5" fillId="0" borderId="60" xfId="0" applyNumberFormat="1" applyFont="1" applyBorder="1" applyAlignment="1">
      <alignment/>
    </xf>
    <xf numFmtId="4" fontId="5" fillId="0" borderId="61" xfId="0" applyNumberFormat="1" applyFont="1" applyBorder="1" applyAlignment="1">
      <alignment/>
    </xf>
    <xf numFmtId="4" fontId="5" fillId="13" borderId="17" xfId="0" applyNumberFormat="1" applyFont="1" applyFill="1" applyBorder="1" applyAlignment="1">
      <alignment/>
    </xf>
    <xf numFmtId="4" fontId="5" fillId="13" borderId="27" xfId="0" applyNumberFormat="1" applyFont="1" applyFill="1" applyBorder="1" applyAlignment="1">
      <alignment/>
    </xf>
    <xf numFmtId="4" fontId="5" fillId="13" borderId="29" xfId="0" applyNumberFormat="1" applyFont="1" applyFill="1" applyBorder="1" applyAlignment="1">
      <alignment/>
    </xf>
    <xf numFmtId="4" fontId="5" fillId="13" borderId="28" xfId="0" applyNumberFormat="1" applyFont="1" applyFill="1" applyBorder="1" applyAlignment="1">
      <alignment/>
    </xf>
    <xf numFmtId="0" fontId="2" fillId="35" borderId="0" xfId="0" applyFont="1" applyFill="1" applyAlignment="1">
      <alignment/>
    </xf>
    <xf numFmtId="4" fontId="3" fillId="35" borderId="0" xfId="0" applyNumberFormat="1" applyFont="1" applyFill="1" applyAlignment="1">
      <alignment/>
    </xf>
    <xf numFmtId="4" fontId="5" fillId="35" borderId="0" xfId="0" applyNumberFormat="1" applyFont="1" applyFill="1" applyAlignment="1">
      <alignment/>
    </xf>
    <xf numFmtId="4" fontId="4" fillId="35" borderId="0" xfId="0" applyNumberFormat="1" applyFont="1" applyFill="1" applyAlignment="1">
      <alignment horizontal="left" wrapText="1"/>
    </xf>
    <xf numFmtId="4" fontId="3" fillId="35" borderId="0" xfId="0" applyNumberFormat="1" applyFont="1" applyFill="1" applyAlignment="1">
      <alignment horizontal="left"/>
    </xf>
    <xf numFmtId="4" fontId="12" fillId="35" borderId="0" xfId="0" applyNumberFormat="1" applyFont="1" applyFill="1" applyAlignment="1">
      <alignment/>
    </xf>
    <xf numFmtId="0" fontId="2" fillId="0" borderId="32" xfId="0" applyFont="1" applyBorder="1" applyAlignment="1">
      <alignment/>
    </xf>
    <xf numFmtId="4" fontId="6" fillId="34" borderId="0" xfId="0" applyNumberFormat="1" applyFont="1" applyFill="1" applyAlignment="1">
      <alignment horizontal="center"/>
    </xf>
    <xf numFmtId="4" fontId="4" fillId="0" borderId="0" xfId="0" applyNumberFormat="1" applyFont="1" applyAlignment="1">
      <alignment horizontal="left" wrapText="1"/>
    </xf>
    <xf numFmtId="4" fontId="5" fillId="33" borderId="17" xfId="0" applyNumberFormat="1" applyFont="1" applyFill="1" applyBorder="1" applyAlignment="1">
      <alignment horizontal="center"/>
    </xf>
    <xf numFmtId="4" fontId="5" fillId="33" borderId="28" xfId="0" applyNumberFormat="1" applyFont="1" applyFill="1" applyBorder="1" applyAlignment="1">
      <alignment horizontal="center"/>
    </xf>
    <xf numFmtId="4" fontId="5" fillId="33" borderId="29" xfId="0" applyNumberFormat="1" applyFont="1" applyFill="1" applyBorder="1" applyAlignment="1">
      <alignment horizontal="center"/>
    </xf>
    <xf numFmtId="3" fontId="5" fillId="34" borderId="52" xfId="0" applyNumberFormat="1" applyFont="1" applyFill="1" applyBorder="1" applyAlignment="1">
      <alignment horizontal="center"/>
    </xf>
    <xf numFmtId="4" fontId="5" fillId="33" borderId="41" xfId="0" applyNumberFormat="1" applyFont="1" applyFill="1" applyBorder="1" applyAlignment="1">
      <alignment horizontal="center"/>
    </xf>
    <xf numFmtId="4" fontId="5" fillId="33" borderId="39" xfId="0" applyNumberFormat="1" applyFont="1" applyFill="1" applyBorder="1" applyAlignment="1">
      <alignment horizontal="center"/>
    </xf>
    <xf numFmtId="4" fontId="5" fillId="33" borderId="62" xfId="0" applyNumberFormat="1" applyFont="1" applyFill="1" applyBorder="1" applyAlignment="1">
      <alignment horizontal="center"/>
    </xf>
    <xf numFmtId="4" fontId="5" fillId="35" borderId="17" xfId="0" applyNumberFormat="1" applyFont="1" applyFill="1" applyBorder="1" applyAlignment="1">
      <alignment horizontal="center"/>
    </xf>
    <xf numFmtId="4" fontId="5" fillId="35" borderId="28" xfId="0" applyNumberFormat="1" applyFont="1" applyFill="1" applyBorder="1" applyAlignment="1">
      <alignment horizontal="center"/>
    </xf>
    <xf numFmtId="4" fontId="5" fillId="35" borderId="29" xfId="0" applyNumberFormat="1" applyFont="1" applyFill="1" applyBorder="1" applyAlignment="1">
      <alignment horizontal="center"/>
    </xf>
    <xf numFmtId="4" fontId="4" fillId="0" borderId="0" xfId="0" applyNumberFormat="1" applyFont="1" applyAlignment="1">
      <alignment horizontal="center" wrapText="1"/>
    </xf>
    <xf numFmtId="4" fontId="4" fillId="0" borderId="0" xfId="0" applyNumberFormat="1" applyFont="1" applyAlignment="1">
      <alignment horizontal="center" wrapText="1"/>
    </xf>
    <xf numFmtId="4" fontId="3" fillId="0" borderId="0" xfId="0" applyNumberFormat="1" applyFont="1" applyFill="1" applyBorder="1" applyAlignment="1">
      <alignment horizontal="center"/>
    </xf>
    <xf numFmtId="4" fontId="1" fillId="0" borderId="0" xfId="0" applyNumberFormat="1" applyFont="1" applyFill="1" applyBorder="1" applyAlignment="1">
      <alignment horizontal="center"/>
    </xf>
    <xf numFmtId="4" fontId="13" fillId="0" borderId="0" xfId="0" applyNumberFormat="1" applyFont="1" applyFill="1" applyBorder="1" applyAlignment="1">
      <alignment horizontal="center"/>
    </xf>
    <xf numFmtId="4" fontId="11" fillId="0" borderId="0" xfId="0" applyNumberFormat="1" applyFont="1" applyFill="1" applyBorder="1" applyAlignment="1">
      <alignment horizontal="center"/>
    </xf>
    <xf numFmtId="0" fontId="2" fillId="0" borderId="0" xfId="0" applyFont="1" applyAlignment="1">
      <alignment horizontal="left" wrapText="1"/>
    </xf>
    <xf numFmtId="167" fontId="2" fillId="0" borderId="30" xfId="45" applyNumberFormat="1" applyFont="1" applyBorder="1" applyAlignment="1">
      <alignment horizontal="center"/>
    </xf>
    <xf numFmtId="167" fontId="2" fillId="0" borderId="15" xfId="45" applyNumberFormat="1" applyFont="1" applyBorder="1" applyAlignment="1">
      <alignment horizontal="center"/>
    </xf>
    <xf numFmtId="4" fontId="2" fillId="0" borderId="31" xfId="0" applyNumberFormat="1" applyFont="1" applyBorder="1" applyAlignment="1">
      <alignment horizontal="center"/>
    </xf>
    <xf numFmtId="4" fontId="2" fillId="0" borderId="14" xfId="0" applyNumberFormat="1" applyFont="1" applyBorder="1" applyAlignment="1">
      <alignment horizontal="center"/>
    </xf>
    <xf numFmtId="3" fontId="1" fillId="34" borderId="17" xfId="0" applyNumberFormat="1" applyFont="1" applyFill="1" applyBorder="1" applyAlignment="1">
      <alignment horizontal="center"/>
    </xf>
    <xf numFmtId="3" fontId="1" fillId="34" borderId="28" xfId="0" applyNumberFormat="1" applyFont="1" applyFill="1" applyBorder="1" applyAlignment="1">
      <alignment horizontal="center"/>
    </xf>
    <xf numFmtId="3" fontId="1" fillId="34" borderId="29" xfId="0" applyNumberFormat="1" applyFont="1" applyFill="1" applyBorder="1" applyAlignment="1">
      <alignment horizontal="center"/>
    </xf>
    <xf numFmtId="4" fontId="1" fillId="33" borderId="36" xfId="0" applyNumberFormat="1" applyFont="1" applyFill="1" applyBorder="1" applyAlignment="1">
      <alignment horizontal="center" vertical="center"/>
    </xf>
    <xf numFmtId="4" fontId="1" fillId="33" borderId="21" xfId="0" applyNumberFormat="1" applyFont="1" applyFill="1" applyBorder="1" applyAlignment="1">
      <alignment horizontal="center" vertical="center"/>
    </xf>
    <xf numFmtId="4" fontId="1" fillId="33" borderId="11" xfId="0" applyNumberFormat="1" applyFont="1" applyFill="1" applyBorder="1" applyAlignment="1">
      <alignment horizontal="center"/>
    </xf>
    <xf numFmtId="4" fontId="1" fillId="33" borderId="14" xfId="0" applyNumberFormat="1" applyFont="1" applyFill="1" applyBorder="1" applyAlignment="1">
      <alignment horizontal="center"/>
    </xf>
    <xf numFmtId="0" fontId="2" fillId="0" borderId="0" xfId="0" applyFont="1" applyAlignment="1">
      <alignment horizontal="left"/>
    </xf>
    <xf numFmtId="4" fontId="1" fillId="33" borderId="41" xfId="0" applyNumberFormat="1" applyFont="1" applyFill="1" applyBorder="1" applyAlignment="1">
      <alignment horizontal="center"/>
    </xf>
    <xf numFmtId="4" fontId="1" fillId="33" borderId="39" xfId="0" applyNumberFormat="1" applyFont="1" applyFill="1" applyBorder="1" applyAlignment="1">
      <alignment horizontal="center"/>
    </xf>
    <xf numFmtId="4" fontId="1" fillId="33" borderId="62" xfId="0" applyNumberFormat="1" applyFont="1" applyFill="1" applyBorder="1" applyAlignment="1">
      <alignment horizontal="center"/>
    </xf>
    <xf numFmtId="4" fontId="2" fillId="0" borderId="36" xfId="0" applyNumberFormat="1" applyFont="1" applyBorder="1" applyAlignment="1">
      <alignment horizontal="left" vertical="center" wrapText="1"/>
    </xf>
    <xf numFmtId="4" fontId="2" fillId="0" borderId="21" xfId="0" applyNumberFormat="1" applyFont="1" applyBorder="1" applyAlignment="1">
      <alignment horizontal="left" vertical="center" wrapText="1"/>
    </xf>
    <xf numFmtId="167" fontId="2" fillId="0" borderId="33" xfId="45" applyNumberFormat="1" applyFont="1" applyBorder="1" applyAlignment="1">
      <alignment horizontal="center"/>
    </xf>
    <xf numFmtId="167" fontId="2" fillId="0" borderId="53" xfId="45" applyNumberFormat="1" applyFont="1" applyBorder="1" applyAlignment="1">
      <alignment horizontal="center"/>
    </xf>
    <xf numFmtId="4" fontId="2" fillId="0" borderId="36" xfId="0" applyNumberFormat="1" applyFont="1" applyBorder="1" applyAlignment="1">
      <alignment horizontal="left" vertical="center" wrapText="1"/>
    </xf>
    <xf numFmtId="4" fontId="2" fillId="0" borderId="21" xfId="0" applyNumberFormat="1" applyFont="1" applyBorder="1" applyAlignment="1">
      <alignment horizontal="left" vertical="center" wrapText="1"/>
    </xf>
    <xf numFmtId="0" fontId="2" fillId="0" borderId="0" xfId="0" applyFont="1" applyAlignment="1">
      <alignment horizontal="left"/>
    </xf>
    <xf numFmtId="4" fontId="2" fillId="0" borderId="63" xfId="0" applyNumberFormat="1" applyFont="1" applyFill="1" applyBorder="1" applyAlignment="1">
      <alignment horizontal="center"/>
    </xf>
    <xf numFmtId="4" fontId="2" fillId="0" borderId="53" xfId="0" applyNumberFormat="1"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244"/>
  <sheetViews>
    <sheetView showGridLines="0" zoomScale="75" zoomScaleNormal="75" zoomScalePageLayoutView="0" workbookViewId="0" topLeftCell="E241">
      <selection activeCell="H58" sqref="H58"/>
    </sheetView>
  </sheetViews>
  <sheetFormatPr defaultColWidth="11.421875" defaultRowHeight="12.75"/>
  <cols>
    <col min="1" max="6" width="11.421875" style="58" customWidth="1"/>
    <col min="7" max="7" width="28.7109375" style="58" customWidth="1"/>
    <col min="8" max="8" width="15.7109375" style="58" customWidth="1"/>
    <col min="9" max="9" width="17.7109375" style="58" customWidth="1"/>
    <col min="10" max="10" width="17.00390625" style="58" bestFit="1" customWidth="1"/>
    <col min="11" max="11" width="16.421875" style="58" customWidth="1"/>
    <col min="12" max="12" width="14.7109375" style="58" bestFit="1" customWidth="1"/>
    <col min="13" max="13" width="16.57421875" style="58" bestFit="1" customWidth="1"/>
    <col min="14" max="14" width="14.57421875" style="58" bestFit="1" customWidth="1"/>
    <col min="15" max="15" width="12.7109375" style="58" bestFit="1" customWidth="1"/>
    <col min="16" max="16" width="16.00390625" style="58" customWidth="1"/>
    <col min="17" max="17" width="14.57421875" style="59" bestFit="1" customWidth="1"/>
    <col min="18" max="16384" width="11.421875" style="58" customWidth="1"/>
  </cols>
  <sheetData>
    <row r="1" spans="7:17" ht="26.25">
      <c r="G1" s="273" t="s">
        <v>52</v>
      </c>
      <c r="H1" s="273"/>
      <c r="I1" s="273"/>
      <c r="J1" s="273"/>
      <c r="K1" s="273"/>
      <c r="L1" s="273"/>
      <c r="M1" s="273"/>
      <c r="N1" s="273"/>
      <c r="O1" s="273"/>
      <c r="P1" s="273"/>
      <c r="Q1" s="273"/>
    </row>
    <row r="3" spans="7:8" ht="15">
      <c r="G3" s="60" t="s">
        <v>53</v>
      </c>
      <c r="H3" s="58" t="s">
        <v>54</v>
      </c>
    </row>
    <row r="4" spans="7:8" ht="15">
      <c r="G4" s="60" t="s">
        <v>57</v>
      </c>
      <c r="H4" s="58" t="s">
        <v>55</v>
      </c>
    </row>
    <row r="5" spans="7:8" ht="15">
      <c r="G5" s="60" t="s">
        <v>57</v>
      </c>
      <c r="H5" s="58" t="s">
        <v>56</v>
      </c>
    </row>
    <row r="6" ht="15">
      <c r="G6" s="60"/>
    </row>
    <row r="7" ht="15">
      <c r="G7" s="61" t="s">
        <v>58</v>
      </c>
    </row>
    <row r="8" ht="15">
      <c r="G8" s="60"/>
    </row>
    <row r="9" spans="7:16" ht="31.5" customHeight="1">
      <c r="G9" s="274" t="s">
        <v>98</v>
      </c>
      <c r="H9" s="274"/>
      <c r="I9" s="274"/>
      <c r="J9" s="274"/>
      <c r="K9" s="274"/>
      <c r="L9" s="274"/>
      <c r="M9" s="274"/>
      <c r="N9" s="274"/>
      <c r="O9" s="274"/>
      <c r="P9" s="274"/>
    </row>
    <row r="10" ht="15.75" thickBot="1"/>
    <row r="11" spans="7:17" ht="15.75" thickBot="1">
      <c r="G11" s="63"/>
      <c r="H11" s="275" t="s">
        <v>8</v>
      </c>
      <c r="I11" s="276"/>
      <c r="J11" s="277"/>
      <c r="K11" s="275" t="s">
        <v>9</v>
      </c>
      <c r="L11" s="276"/>
      <c r="M11" s="277"/>
      <c r="N11" s="275" t="s">
        <v>12</v>
      </c>
      <c r="O11" s="276"/>
      <c r="P11" s="277"/>
      <c r="Q11" s="64"/>
    </row>
    <row r="12" spans="7:17" ht="15.75" thickBot="1">
      <c r="G12" s="65" t="s">
        <v>59</v>
      </c>
      <c r="H12" s="66" t="s">
        <v>0</v>
      </c>
      <c r="I12" s="67" t="s">
        <v>1</v>
      </c>
      <c r="J12" s="68" t="s">
        <v>2</v>
      </c>
      <c r="K12" s="69" t="s">
        <v>3</v>
      </c>
      <c r="L12" s="70" t="s">
        <v>4</v>
      </c>
      <c r="M12" s="68" t="s">
        <v>5</v>
      </c>
      <c r="N12" s="66" t="s">
        <v>6</v>
      </c>
      <c r="O12" s="67" t="s">
        <v>10</v>
      </c>
      <c r="P12" s="71" t="s">
        <v>11</v>
      </c>
      <c r="Q12" s="72" t="s">
        <v>7</v>
      </c>
    </row>
    <row r="13" spans="7:17" ht="15">
      <c r="G13" s="73" t="s">
        <v>60</v>
      </c>
      <c r="H13" s="125">
        <v>160000</v>
      </c>
      <c r="I13" s="126">
        <v>50000</v>
      </c>
      <c r="J13" s="127">
        <v>100000</v>
      </c>
      <c r="K13" s="125">
        <v>300000</v>
      </c>
      <c r="L13" s="126">
        <v>40000</v>
      </c>
      <c r="M13" s="127">
        <v>40000</v>
      </c>
      <c r="N13" s="125">
        <v>1150000</v>
      </c>
      <c r="O13" s="128">
        <v>350000</v>
      </c>
      <c r="P13" s="126">
        <v>764000</v>
      </c>
      <c r="Q13" s="129">
        <f>SUM(H13:P13)</f>
        <v>2954000</v>
      </c>
    </row>
    <row r="14" spans="7:17" ht="15">
      <c r="G14" s="73" t="s">
        <v>61</v>
      </c>
      <c r="H14" s="125">
        <v>15200</v>
      </c>
      <c r="I14" s="126">
        <v>9000</v>
      </c>
      <c r="J14" s="127">
        <v>35500</v>
      </c>
      <c r="K14" s="125">
        <v>83490</v>
      </c>
      <c r="L14" s="126">
        <v>70400</v>
      </c>
      <c r="M14" s="127">
        <v>38000</v>
      </c>
      <c r="N14" s="125">
        <v>382500</v>
      </c>
      <c r="O14" s="126">
        <v>335000</v>
      </c>
      <c r="P14" s="130">
        <v>19286</v>
      </c>
      <c r="Q14" s="129">
        <f>SUM(H14:P14)</f>
        <v>988376</v>
      </c>
    </row>
    <row r="15" spans="7:17" ht="15">
      <c r="G15" s="73" t="s">
        <v>62</v>
      </c>
      <c r="H15" s="125">
        <v>3200</v>
      </c>
      <c r="I15" s="126">
        <v>1000</v>
      </c>
      <c r="J15" s="127">
        <v>33460</v>
      </c>
      <c r="K15" s="125">
        <v>150000</v>
      </c>
      <c r="L15" s="126">
        <v>1200000</v>
      </c>
      <c r="M15" s="127">
        <v>600000</v>
      </c>
      <c r="N15" s="125">
        <v>650000</v>
      </c>
      <c r="O15" s="126">
        <v>100000</v>
      </c>
      <c r="P15" s="130">
        <v>50000</v>
      </c>
      <c r="Q15" s="129">
        <f>SUM(H15:P15)</f>
        <v>2787660</v>
      </c>
    </row>
    <row r="16" spans="7:17" ht="15">
      <c r="G16" s="145" t="s">
        <v>13</v>
      </c>
      <c r="H16" s="146">
        <f>SUM(H13:H15)</f>
        <v>178400</v>
      </c>
      <c r="I16" s="146">
        <f aca="true" t="shared" si="0" ref="I16:Q16">SUM(I13:I15)</f>
        <v>60000</v>
      </c>
      <c r="J16" s="147">
        <f t="shared" si="0"/>
        <v>168960</v>
      </c>
      <c r="K16" s="146">
        <f t="shared" si="0"/>
        <v>533490</v>
      </c>
      <c r="L16" s="146">
        <f t="shared" si="0"/>
        <v>1310400</v>
      </c>
      <c r="M16" s="147">
        <f t="shared" si="0"/>
        <v>678000</v>
      </c>
      <c r="N16" s="146">
        <f t="shared" si="0"/>
        <v>2182500</v>
      </c>
      <c r="O16" s="146">
        <f t="shared" si="0"/>
        <v>785000</v>
      </c>
      <c r="P16" s="148">
        <f t="shared" si="0"/>
        <v>833286</v>
      </c>
      <c r="Q16" s="149">
        <f t="shared" si="0"/>
        <v>6730036</v>
      </c>
    </row>
    <row r="17" spans="7:17" s="78" customFormat="1" ht="14.25">
      <c r="G17" s="74" t="s">
        <v>15</v>
      </c>
      <c r="H17" s="75"/>
      <c r="I17" s="75"/>
      <c r="J17" s="76"/>
      <c r="K17" s="75"/>
      <c r="L17" s="75"/>
      <c r="M17" s="76"/>
      <c r="N17" s="75"/>
      <c r="O17" s="75"/>
      <c r="P17" s="75"/>
      <c r="Q17" s="77"/>
    </row>
    <row r="18" spans="7:17" ht="15">
      <c r="G18" s="152" t="s">
        <v>14</v>
      </c>
      <c r="H18" s="131"/>
      <c r="I18" s="131"/>
      <c r="J18" s="132"/>
      <c r="K18" s="131"/>
      <c r="L18" s="131"/>
      <c r="M18" s="132"/>
      <c r="N18" s="131"/>
      <c r="O18" s="131"/>
      <c r="P18" s="131"/>
      <c r="Q18" s="133"/>
    </row>
    <row r="19" spans="4:17" s="78" customFormat="1" ht="14.25">
      <c r="D19" s="87"/>
      <c r="G19" s="74" t="s">
        <v>16</v>
      </c>
      <c r="H19" s="83"/>
      <c r="I19" s="84"/>
      <c r="J19" s="85"/>
      <c r="K19" s="83"/>
      <c r="L19" s="84"/>
      <c r="M19" s="85"/>
      <c r="N19" s="83"/>
      <c r="O19" s="84"/>
      <c r="P19" s="86"/>
      <c r="Q19" s="77"/>
    </row>
    <row r="20" spans="7:17" ht="15">
      <c r="G20" s="152" t="s">
        <v>17</v>
      </c>
      <c r="H20" s="80"/>
      <c r="I20" s="87"/>
      <c r="J20" s="81"/>
      <c r="K20" s="80"/>
      <c r="L20" s="87"/>
      <c r="M20" s="81"/>
      <c r="N20" s="131"/>
      <c r="O20" s="134"/>
      <c r="P20" s="137"/>
      <c r="Q20" s="133"/>
    </row>
    <row r="21" spans="7:17" s="78" customFormat="1" ht="15">
      <c r="G21" s="74" t="s">
        <v>18</v>
      </c>
      <c r="H21" s="83"/>
      <c r="I21" s="84"/>
      <c r="J21" s="85"/>
      <c r="K21" s="83"/>
      <c r="L21" s="84"/>
      <c r="M21" s="85"/>
      <c r="N21" s="83"/>
      <c r="O21" s="84"/>
      <c r="P21" s="86"/>
      <c r="Q21" s="90"/>
    </row>
    <row r="22" spans="7:17" ht="15">
      <c r="G22" s="152" t="s">
        <v>19</v>
      </c>
      <c r="H22" s="131"/>
      <c r="I22" s="134"/>
      <c r="J22" s="132"/>
      <c r="K22" s="131"/>
      <c r="L22" s="134"/>
      <c r="M22" s="132"/>
      <c r="N22" s="131"/>
      <c r="O22" s="134"/>
      <c r="P22" s="137"/>
      <c r="Q22" s="133"/>
    </row>
    <row r="23" spans="7:17" ht="15">
      <c r="G23" s="79"/>
      <c r="H23" s="131"/>
      <c r="I23" s="134"/>
      <c r="J23" s="132"/>
      <c r="K23" s="131"/>
      <c r="L23" s="134"/>
      <c r="M23" s="132"/>
      <c r="N23" s="134"/>
      <c r="O23" s="136"/>
      <c r="P23" s="134"/>
      <c r="Q23" s="133"/>
    </row>
    <row r="24" spans="7:17" s="59" customFormat="1" ht="15">
      <c r="G24" s="145" t="s">
        <v>67</v>
      </c>
      <c r="H24" s="148">
        <f>H16+H18+H23</f>
        <v>178400</v>
      </c>
      <c r="I24" s="150">
        <f>I16+I23</f>
        <v>60000</v>
      </c>
      <c r="J24" s="147">
        <f>J16+J18+J23</f>
        <v>168960</v>
      </c>
      <c r="K24" s="148">
        <f>K16+K18+K20+K22</f>
        <v>533490</v>
      </c>
      <c r="L24" s="150">
        <f>L16+L18+L20+L22</f>
        <v>1310400</v>
      </c>
      <c r="M24" s="147">
        <f>M16+M18+M20+M22</f>
        <v>678000</v>
      </c>
      <c r="N24" s="278">
        <f>N16+N18+O16+O18+P16+P18</f>
        <v>3800786</v>
      </c>
      <c r="O24" s="278"/>
      <c r="P24" s="278"/>
      <c r="Q24" s="151">
        <f>SUM(H24:P24)</f>
        <v>6730036</v>
      </c>
    </row>
    <row r="25" spans="7:17" s="59" customFormat="1" ht="72">
      <c r="G25" s="79" t="s">
        <v>22</v>
      </c>
      <c r="H25" s="153" t="s">
        <v>64</v>
      </c>
      <c r="I25" s="91" t="s">
        <v>63</v>
      </c>
      <c r="J25" s="92" t="s">
        <v>64</v>
      </c>
      <c r="K25" s="153" t="s">
        <v>20</v>
      </c>
      <c r="L25" s="91" t="s">
        <v>21</v>
      </c>
      <c r="M25" s="92" t="s">
        <v>21</v>
      </c>
      <c r="N25" s="97"/>
      <c r="O25" s="98"/>
      <c r="P25" s="99"/>
      <c r="Q25" s="82"/>
    </row>
    <row r="26" spans="7:17" s="59" customFormat="1" ht="15">
      <c r="G26" s="79" t="s">
        <v>68</v>
      </c>
      <c r="H26" s="93"/>
      <c r="I26" s="94"/>
      <c r="J26" s="95"/>
      <c r="K26" s="93">
        <f>1800000+480000</f>
        <v>2280000</v>
      </c>
      <c r="L26" s="94">
        <f>7800</f>
        <v>7800</v>
      </c>
      <c r="M26" s="95">
        <f>18000</f>
        <v>18000</v>
      </c>
      <c r="N26" s="100"/>
      <c r="O26" s="98"/>
      <c r="P26" s="99"/>
      <c r="Q26" s="82"/>
    </row>
    <row r="27" spans="7:17" ht="15.75" customHeight="1" thickBot="1">
      <c r="G27" s="72" t="s">
        <v>100</v>
      </c>
      <c r="H27" s="101"/>
      <c r="I27" s="102"/>
      <c r="J27" s="103"/>
      <c r="K27" s="154"/>
      <c r="L27" s="155"/>
      <c r="M27" s="156"/>
      <c r="N27" s="101"/>
      <c r="O27" s="102"/>
      <c r="P27" s="104"/>
      <c r="Q27" s="72"/>
    </row>
    <row r="28" spans="7:17" ht="15">
      <c r="G28" s="87"/>
      <c r="H28" s="87"/>
      <c r="I28" s="87"/>
      <c r="J28" s="87"/>
      <c r="K28" s="98"/>
      <c r="L28" s="98"/>
      <c r="M28" s="98"/>
      <c r="N28" s="87"/>
      <c r="O28" s="87"/>
      <c r="P28" s="87"/>
      <c r="Q28" s="98"/>
    </row>
    <row r="29" spans="7:17" ht="15">
      <c r="G29" s="274" t="s">
        <v>65</v>
      </c>
      <c r="H29" s="274"/>
      <c r="I29" s="274"/>
      <c r="J29" s="274"/>
      <c r="K29" s="274"/>
      <c r="L29" s="274"/>
      <c r="M29" s="274"/>
      <c r="N29" s="274"/>
      <c r="O29" s="274"/>
      <c r="P29" s="274"/>
      <c r="Q29" s="98"/>
    </row>
    <row r="30" spans="7:17" ht="15">
      <c r="G30" s="274" t="s">
        <v>66</v>
      </c>
      <c r="H30" s="274"/>
      <c r="I30" s="274"/>
      <c r="J30" s="274"/>
      <c r="K30" s="274"/>
      <c r="L30" s="274"/>
      <c r="M30" s="274"/>
      <c r="N30" s="274"/>
      <c r="O30" s="274"/>
      <c r="P30" s="274"/>
      <c r="Q30" s="98"/>
    </row>
    <row r="31" spans="7:16" ht="15">
      <c r="G31" s="274" t="s">
        <v>99</v>
      </c>
      <c r="H31" s="274"/>
      <c r="I31" s="274"/>
      <c r="J31" s="274"/>
      <c r="K31" s="274"/>
      <c r="L31" s="274"/>
      <c r="M31" s="274"/>
      <c r="N31" s="274"/>
      <c r="O31" s="274"/>
      <c r="P31" s="274"/>
    </row>
    <row r="32" spans="7:16" ht="15">
      <c r="G32" s="62"/>
      <c r="H32" s="62"/>
      <c r="I32" s="62"/>
      <c r="J32" s="62"/>
      <c r="K32" s="62"/>
      <c r="L32" s="62"/>
      <c r="M32" s="62"/>
      <c r="N32" s="62"/>
      <c r="O32" s="62"/>
      <c r="P32" s="62"/>
    </row>
    <row r="33" spans="7:16" ht="30">
      <c r="G33" s="207" t="s">
        <v>101</v>
      </c>
      <c r="H33" s="285" t="s">
        <v>102</v>
      </c>
      <c r="I33" s="285"/>
      <c r="J33" s="62"/>
      <c r="K33" s="62"/>
      <c r="L33" s="62"/>
      <c r="M33" s="62"/>
      <c r="N33" s="62"/>
      <c r="O33" s="62"/>
      <c r="P33" s="62"/>
    </row>
    <row r="34" spans="7:16" ht="30">
      <c r="G34" s="208" t="s">
        <v>103</v>
      </c>
      <c r="H34" s="285" t="s">
        <v>104</v>
      </c>
      <c r="I34" s="286"/>
      <c r="J34" s="62"/>
      <c r="K34" s="62"/>
      <c r="L34" s="62"/>
      <c r="M34" s="62"/>
      <c r="N34" s="62"/>
      <c r="O34" s="62"/>
      <c r="P34" s="62"/>
    </row>
    <row r="35" spans="7:16" ht="15">
      <c r="G35" s="62"/>
      <c r="H35" s="62"/>
      <c r="I35" s="62"/>
      <c r="J35" s="62"/>
      <c r="K35" s="62"/>
      <c r="L35" s="62"/>
      <c r="M35" s="62"/>
      <c r="N35" s="62"/>
      <c r="O35" s="62"/>
      <c r="P35" s="62"/>
    </row>
    <row r="36" spans="7:16" ht="15.75" thickBot="1">
      <c r="G36" s="62"/>
      <c r="H36" s="62"/>
      <c r="I36" s="62"/>
      <c r="J36" s="62"/>
      <c r="K36" s="62"/>
      <c r="L36" s="62"/>
      <c r="M36" s="62"/>
      <c r="N36" s="62"/>
      <c r="O36" s="62"/>
      <c r="P36" s="62"/>
    </row>
    <row r="37" spans="7:17" ht="15.75" thickBot="1">
      <c r="G37" s="63"/>
      <c r="H37" s="275" t="s">
        <v>8</v>
      </c>
      <c r="I37" s="276"/>
      <c r="J37" s="277"/>
      <c r="K37" s="275" t="s">
        <v>9</v>
      </c>
      <c r="L37" s="276"/>
      <c r="M37" s="277"/>
      <c r="N37" s="275" t="s">
        <v>12</v>
      </c>
      <c r="O37" s="276"/>
      <c r="P37" s="277"/>
      <c r="Q37" s="64"/>
    </row>
    <row r="38" spans="7:17" ht="15.75" thickBot="1">
      <c r="G38" s="65" t="s">
        <v>59</v>
      </c>
      <c r="H38" s="66" t="s">
        <v>0</v>
      </c>
      <c r="I38" s="220" t="s">
        <v>1</v>
      </c>
      <c r="J38" s="68" t="s">
        <v>2</v>
      </c>
      <c r="K38" s="69" t="s">
        <v>3</v>
      </c>
      <c r="L38" s="70" t="s">
        <v>4</v>
      </c>
      <c r="M38" s="68" t="s">
        <v>5</v>
      </c>
      <c r="N38" s="66" t="s">
        <v>6</v>
      </c>
      <c r="O38" s="67" t="s">
        <v>10</v>
      </c>
      <c r="P38" s="71" t="s">
        <v>11</v>
      </c>
      <c r="Q38" s="72" t="s">
        <v>7</v>
      </c>
    </row>
    <row r="39" spans="7:17" ht="15">
      <c r="G39" s="73" t="s">
        <v>60</v>
      </c>
      <c r="H39" s="125">
        <v>160000</v>
      </c>
      <c r="I39" s="126">
        <v>50000</v>
      </c>
      <c r="J39" s="127">
        <v>100000</v>
      </c>
      <c r="K39" s="125">
        <v>300000</v>
      </c>
      <c r="L39" s="126">
        <v>40000</v>
      </c>
      <c r="M39" s="127">
        <v>40000</v>
      </c>
      <c r="N39" s="125">
        <v>1150000</v>
      </c>
      <c r="O39" s="128">
        <v>350000</v>
      </c>
      <c r="P39" s="126">
        <v>764000</v>
      </c>
      <c r="Q39" s="129">
        <f>SUM(H39:P39)</f>
        <v>2954000</v>
      </c>
    </row>
    <row r="40" spans="7:17" ht="15">
      <c r="G40" s="73" t="s">
        <v>61</v>
      </c>
      <c r="H40" s="125">
        <v>15200</v>
      </c>
      <c r="I40" s="126">
        <v>9000</v>
      </c>
      <c r="J40" s="127">
        <v>35500</v>
      </c>
      <c r="K40" s="125">
        <v>83490</v>
      </c>
      <c r="L40" s="126">
        <v>70400</v>
      </c>
      <c r="M40" s="127">
        <v>38000</v>
      </c>
      <c r="N40" s="125">
        <v>382500</v>
      </c>
      <c r="O40" s="126">
        <v>335000</v>
      </c>
      <c r="P40" s="130">
        <v>19286</v>
      </c>
      <c r="Q40" s="129">
        <f>SUM(H40:P40)</f>
        <v>988376</v>
      </c>
    </row>
    <row r="41" spans="7:17" ht="15">
      <c r="G41" s="73" t="s">
        <v>62</v>
      </c>
      <c r="H41" s="125">
        <v>3200</v>
      </c>
      <c r="I41" s="126">
        <v>1000</v>
      </c>
      <c r="J41" s="127">
        <v>33460</v>
      </c>
      <c r="K41" s="125">
        <v>150000</v>
      </c>
      <c r="L41" s="126">
        <v>1200000</v>
      </c>
      <c r="M41" s="127">
        <v>600000</v>
      </c>
      <c r="N41" s="125">
        <v>650000</v>
      </c>
      <c r="O41" s="126">
        <v>100000</v>
      </c>
      <c r="P41" s="130">
        <v>50000</v>
      </c>
      <c r="Q41" s="129">
        <f>SUM(H41:P41)</f>
        <v>2787660</v>
      </c>
    </row>
    <row r="42" spans="7:17" ht="15">
      <c r="G42" s="145" t="s">
        <v>13</v>
      </c>
      <c r="H42" s="146">
        <f>SUM(H39:H41)</f>
        <v>178400</v>
      </c>
      <c r="I42" s="146">
        <f aca="true" t="shared" si="1" ref="I42:Q42">SUM(I39:I41)</f>
        <v>60000</v>
      </c>
      <c r="J42" s="147">
        <f t="shared" si="1"/>
        <v>168960</v>
      </c>
      <c r="K42" s="146">
        <f t="shared" si="1"/>
        <v>533490</v>
      </c>
      <c r="L42" s="146">
        <f t="shared" si="1"/>
        <v>1310400</v>
      </c>
      <c r="M42" s="147">
        <f t="shared" si="1"/>
        <v>678000</v>
      </c>
      <c r="N42" s="146">
        <f t="shared" si="1"/>
        <v>2182500</v>
      </c>
      <c r="O42" s="146">
        <f t="shared" si="1"/>
        <v>785000</v>
      </c>
      <c r="P42" s="148">
        <f t="shared" si="1"/>
        <v>833286</v>
      </c>
      <c r="Q42" s="149">
        <f t="shared" si="1"/>
        <v>6730036</v>
      </c>
    </row>
    <row r="43" spans="7:17" s="78" customFormat="1" ht="14.25">
      <c r="G43" s="74" t="s">
        <v>15</v>
      </c>
      <c r="H43" s="209">
        <f>H39/($Q$13-$I$13)</f>
        <v>0.05509641873278237</v>
      </c>
      <c r="I43" s="75"/>
      <c r="J43" s="76"/>
      <c r="K43" s="75"/>
      <c r="L43" s="75"/>
      <c r="M43" s="76"/>
      <c r="N43" s="75"/>
      <c r="O43" s="75"/>
      <c r="P43" s="75"/>
      <c r="Q43" s="77"/>
    </row>
    <row r="44" spans="7:17" ht="15">
      <c r="G44" s="152" t="s">
        <v>14</v>
      </c>
      <c r="H44" s="210">
        <f>H43*$I$16</f>
        <v>3305.785123966942</v>
      </c>
      <c r="I44" s="131"/>
      <c r="J44" s="132"/>
      <c r="K44" s="131"/>
      <c r="L44" s="131"/>
      <c r="M44" s="132"/>
      <c r="N44" s="131"/>
      <c r="O44" s="131"/>
      <c r="P44" s="131"/>
      <c r="Q44" s="133"/>
    </row>
    <row r="45" spans="4:17" s="78" customFormat="1" ht="14.25">
      <c r="D45" s="87"/>
      <c r="G45" s="74" t="s">
        <v>16</v>
      </c>
      <c r="H45" s="83"/>
      <c r="I45" s="84"/>
      <c r="J45" s="85"/>
      <c r="K45" s="83"/>
      <c r="L45" s="84"/>
      <c r="M45" s="85"/>
      <c r="N45" s="83"/>
      <c r="O45" s="84"/>
      <c r="P45" s="86"/>
      <c r="Q45" s="77"/>
    </row>
    <row r="46" spans="7:17" ht="15">
      <c r="G46" s="152" t="s">
        <v>17</v>
      </c>
      <c r="H46" s="80"/>
      <c r="I46" s="87"/>
      <c r="J46" s="81"/>
      <c r="K46" s="80"/>
      <c r="L46" s="87"/>
      <c r="M46" s="81"/>
      <c r="N46" s="131"/>
      <c r="O46" s="134"/>
      <c r="P46" s="137"/>
      <c r="Q46" s="133"/>
    </row>
    <row r="47" spans="7:17" s="78" customFormat="1" ht="15">
      <c r="G47" s="74" t="s">
        <v>18</v>
      </c>
      <c r="H47" s="83"/>
      <c r="I47" s="84"/>
      <c r="J47" s="85"/>
      <c r="K47" s="83"/>
      <c r="L47" s="84"/>
      <c r="M47" s="85"/>
      <c r="N47" s="83"/>
      <c r="O47" s="84"/>
      <c r="P47" s="86"/>
      <c r="Q47" s="90"/>
    </row>
    <row r="48" spans="7:17" ht="15">
      <c r="G48" s="152" t="s">
        <v>19</v>
      </c>
      <c r="H48" s="131"/>
      <c r="I48" s="134"/>
      <c r="J48" s="132"/>
      <c r="K48" s="131"/>
      <c r="L48" s="134"/>
      <c r="M48" s="132"/>
      <c r="N48" s="131"/>
      <c r="O48" s="134"/>
      <c r="P48" s="137"/>
      <c r="Q48" s="133"/>
    </row>
    <row r="49" spans="7:17" ht="15">
      <c r="G49" s="79"/>
      <c r="H49" s="131"/>
      <c r="I49" s="134"/>
      <c r="J49" s="132"/>
      <c r="K49" s="131"/>
      <c r="L49" s="134"/>
      <c r="M49" s="132"/>
      <c r="N49" s="134"/>
      <c r="O49" s="136"/>
      <c r="P49" s="134"/>
      <c r="Q49" s="133"/>
    </row>
    <row r="50" spans="7:17" s="59" customFormat="1" ht="15">
      <c r="G50" s="145" t="s">
        <v>67</v>
      </c>
      <c r="H50" s="148">
        <f>H42+H44+H49</f>
        <v>181705.78512396695</v>
      </c>
      <c r="I50" s="150">
        <f>I42+I49</f>
        <v>60000</v>
      </c>
      <c r="J50" s="147">
        <f>J42+J44+J49</f>
        <v>168960</v>
      </c>
      <c r="K50" s="148">
        <f>K42+K44+K46+K48</f>
        <v>533490</v>
      </c>
      <c r="L50" s="150">
        <f>L42+L44+L46+L48</f>
        <v>1310400</v>
      </c>
      <c r="M50" s="147">
        <f>M42+M44+M46+M48</f>
        <v>678000</v>
      </c>
      <c r="N50" s="278">
        <f>N42+N44+O42+O44+P42+P44</f>
        <v>3800786</v>
      </c>
      <c r="O50" s="278"/>
      <c r="P50" s="278"/>
      <c r="Q50" s="151">
        <f>SUM(H50:P50)</f>
        <v>6733341.785123967</v>
      </c>
    </row>
    <row r="51" spans="7:17" s="59" customFormat="1" ht="72">
      <c r="G51" s="79" t="s">
        <v>22</v>
      </c>
      <c r="H51" s="153" t="s">
        <v>64</v>
      </c>
      <c r="I51" s="91" t="s">
        <v>63</v>
      </c>
      <c r="J51" s="92" t="s">
        <v>64</v>
      </c>
      <c r="K51" s="153" t="s">
        <v>20</v>
      </c>
      <c r="L51" s="91" t="s">
        <v>21</v>
      </c>
      <c r="M51" s="92" t="s">
        <v>21</v>
      </c>
      <c r="N51" s="97"/>
      <c r="O51" s="98"/>
      <c r="P51" s="99"/>
      <c r="Q51" s="82"/>
    </row>
    <row r="52" spans="7:17" s="59" customFormat="1" ht="15">
      <c r="G52" s="79" t="s">
        <v>68</v>
      </c>
      <c r="H52" s="93"/>
      <c r="I52" s="94"/>
      <c r="J52" s="95"/>
      <c r="K52" s="93">
        <f>1800000+480000</f>
        <v>2280000</v>
      </c>
      <c r="L52" s="94">
        <f>7800</f>
        <v>7800</v>
      </c>
      <c r="M52" s="95">
        <f>18000</f>
        <v>18000</v>
      </c>
      <c r="N52" s="100"/>
      <c r="O52" s="98"/>
      <c r="P52" s="99"/>
      <c r="Q52" s="82"/>
    </row>
    <row r="53" spans="7:17" ht="15.75" customHeight="1" thickBot="1">
      <c r="G53" s="72" t="s">
        <v>100</v>
      </c>
      <c r="H53" s="101"/>
      <c r="I53" s="102"/>
      <c r="J53" s="103"/>
      <c r="K53" s="154"/>
      <c r="L53" s="155"/>
      <c r="M53" s="156"/>
      <c r="N53" s="101"/>
      <c r="O53" s="102"/>
      <c r="P53" s="104"/>
      <c r="Q53" s="72"/>
    </row>
    <row r="54" spans="7:17" s="212" customFormat="1" ht="15.75" customHeight="1">
      <c r="G54" s="213"/>
      <c r="H54" s="214"/>
      <c r="I54" s="214"/>
      <c r="J54" s="214"/>
      <c r="K54" s="215"/>
      <c r="L54" s="215"/>
      <c r="M54" s="215"/>
      <c r="N54" s="214"/>
      <c r="O54" s="214"/>
      <c r="P54" s="214"/>
      <c r="Q54" s="213"/>
    </row>
    <row r="55" spans="7:17" s="212" customFormat="1" ht="15.75" customHeight="1">
      <c r="G55" s="213"/>
      <c r="H55" s="214"/>
      <c r="I55" s="214"/>
      <c r="J55" s="214"/>
      <c r="K55" s="215"/>
      <c r="L55" s="215"/>
      <c r="M55" s="215"/>
      <c r="N55" s="214"/>
      <c r="O55" s="214"/>
      <c r="P55" s="214"/>
      <c r="Q55" s="213"/>
    </row>
    <row r="56" spans="7:17" s="212" customFormat="1" ht="15.75" customHeight="1">
      <c r="G56" s="213"/>
      <c r="H56" s="214"/>
      <c r="I56" s="214"/>
      <c r="J56" s="214"/>
      <c r="K56" s="215"/>
      <c r="L56" s="215"/>
      <c r="M56" s="215"/>
      <c r="N56" s="214"/>
      <c r="O56" s="214"/>
      <c r="P56" s="214"/>
      <c r="Q56" s="213"/>
    </row>
    <row r="57" spans="7:17" s="212" customFormat="1" ht="15.75" customHeight="1">
      <c r="G57" s="213"/>
      <c r="H57" s="214"/>
      <c r="I57" s="214"/>
      <c r="J57" s="214"/>
      <c r="K57" s="215"/>
      <c r="L57" s="215"/>
      <c r="M57" s="215"/>
      <c r="N57" s="214"/>
      <c r="O57" s="214"/>
      <c r="P57" s="214"/>
      <c r="Q57" s="213"/>
    </row>
    <row r="58" spans="7:17" s="212" customFormat="1" ht="15.75" customHeight="1">
      <c r="G58" s="213"/>
      <c r="H58" s="214"/>
      <c r="I58" s="214"/>
      <c r="J58" s="214"/>
      <c r="K58" s="215"/>
      <c r="L58" s="215"/>
      <c r="M58" s="215"/>
      <c r="N58" s="214"/>
      <c r="O58" s="214"/>
      <c r="P58" s="214"/>
      <c r="Q58" s="213"/>
    </row>
    <row r="59" spans="7:17" s="212" customFormat="1" ht="15.75" customHeight="1">
      <c r="G59" s="213"/>
      <c r="H59" s="214"/>
      <c r="I59" s="214"/>
      <c r="J59" s="214"/>
      <c r="K59" s="215"/>
      <c r="L59" s="215"/>
      <c r="M59" s="215"/>
      <c r="N59" s="214"/>
      <c r="O59" s="214"/>
      <c r="P59" s="214"/>
      <c r="Q59" s="213"/>
    </row>
    <row r="60" spans="7:17" s="212" customFormat="1" ht="15.75" customHeight="1">
      <c r="G60" s="213"/>
      <c r="H60" s="214"/>
      <c r="I60" s="214"/>
      <c r="J60" s="214"/>
      <c r="K60" s="215"/>
      <c r="L60" s="215"/>
      <c r="M60" s="215"/>
      <c r="N60" s="214"/>
      <c r="O60" s="214"/>
      <c r="P60" s="214"/>
      <c r="Q60" s="213"/>
    </row>
    <row r="61" spans="7:17" s="212" customFormat="1" ht="15.75" customHeight="1">
      <c r="G61" s="213"/>
      <c r="H61" s="214"/>
      <c r="I61" s="214"/>
      <c r="J61" s="214"/>
      <c r="K61" s="215"/>
      <c r="L61" s="215"/>
      <c r="M61" s="215"/>
      <c r="N61" s="214"/>
      <c r="O61" s="214"/>
      <c r="P61" s="214"/>
      <c r="Q61" s="213"/>
    </row>
    <row r="62" spans="8:16" ht="15">
      <c r="H62" s="62"/>
      <c r="I62" s="62"/>
      <c r="J62" s="62"/>
      <c r="K62" s="62"/>
      <c r="L62" s="62"/>
      <c r="M62" s="62"/>
      <c r="N62" s="62"/>
      <c r="O62" s="62"/>
      <c r="P62" s="62"/>
    </row>
    <row r="63" spans="8:16" ht="15.75" thickBot="1">
      <c r="H63" s="62"/>
      <c r="I63" s="62"/>
      <c r="J63" s="62"/>
      <c r="K63" s="62"/>
      <c r="L63" s="62"/>
      <c r="M63" s="62"/>
      <c r="N63" s="62"/>
      <c r="O63" s="62"/>
      <c r="P63" s="62"/>
    </row>
    <row r="64" spans="7:17" ht="15.75" thickBot="1">
      <c r="G64" s="63"/>
      <c r="H64" s="282" t="s">
        <v>8</v>
      </c>
      <c r="I64" s="283"/>
      <c r="J64" s="284"/>
      <c r="K64" s="275" t="s">
        <v>9</v>
      </c>
      <c r="L64" s="276"/>
      <c r="M64" s="277"/>
      <c r="N64" s="275" t="s">
        <v>12</v>
      </c>
      <c r="O64" s="276"/>
      <c r="P64" s="277"/>
      <c r="Q64" s="64"/>
    </row>
    <row r="65" spans="7:17" ht="15.75" thickBot="1">
      <c r="G65" s="65" t="s">
        <v>59</v>
      </c>
      <c r="H65" s="66" t="s">
        <v>0</v>
      </c>
      <c r="I65" s="220" t="s">
        <v>1</v>
      </c>
      <c r="J65" s="68" t="s">
        <v>2</v>
      </c>
      <c r="K65" s="69" t="s">
        <v>3</v>
      </c>
      <c r="L65" s="70" t="s">
        <v>4</v>
      </c>
      <c r="M65" s="68" t="s">
        <v>5</v>
      </c>
      <c r="N65" s="66" t="s">
        <v>6</v>
      </c>
      <c r="O65" s="67" t="s">
        <v>10</v>
      </c>
      <c r="P65" s="71" t="s">
        <v>11</v>
      </c>
      <c r="Q65" s="72" t="s">
        <v>7</v>
      </c>
    </row>
    <row r="66" spans="7:17" ht="15">
      <c r="G66" s="73" t="s">
        <v>60</v>
      </c>
      <c r="H66" s="125">
        <v>160000</v>
      </c>
      <c r="I66" s="126">
        <v>50000</v>
      </c>
      <c r="J66" s="127">
        <v>100000</v>
      </c>
      <c r="K66" s="125">
        <v>300000</v>
      </c>
      <c r="L66" s="126">
        <v>40000</v>
      </c>
      <c r="M66" s="127">
        <v>40000</v>
      </c>
      <c r="N66" s="125">
        <v>1150000</v>
      </c>
      <c r="O66" s="128">
        <v>350000</v>
      </c>
      <c r="P66" s="126">
        <v>764000</v>
      </c>
      <c r="Q66" s="129">
        <f>SUM(H66:P66)</f>
        <v>2954000</v>
      </c>
    </row>
    <row r="67" spans="7:17" ht="15">
      <c r="G67" s="73" t="s">
        <v>61</v>
      </c>
      <c r="H67" s="125">
        <v>15200</v>
      </c>
      <c r="I67" s="126">
        <v>9000</v>
      </c>
      <c r="J67" s="127">
        <v>35500</v>
      </c>
      <c r="K67" s="125">
        <v>83490</v>
      </c>
      <c r="L67" s="126">
        <v>70400</v>
      </c>
      <c r="M67" s="127">
        <v>38000</v>
      </c>
      <c r="N67" s="125">
        <v>382500</v>
      </c>
      <c r="O67" s="126">
        <v>335000</v>
      </c>
      <c r="P67" s="130">
        <v>19286</v>
      </c>
      <c r="Q67" s="129">
        <f>SUM(H67:P67)</f>
        <v>988376</v>
      </c>
    </row>
    <row r="68" spans="7:17" ht="15">
      <c r="G68" s="73" t="s">
        <v>62</v>
      </c>
      <c r="H68" s="125">
        <v>3200</v>
      </c>
      <c r="I68" s="126">
        <v>1000</v>
      </c>
      <c r="J68" s="127">
        <v>33460</v>
      </c>
      <c r="K68" s="125">
        <v>150000</v>
      </c>
      <c r="L68" s="126">
        <v>1200000</v>
      </c>
      <c r="M68" s="127">
        <v>600000</v>
      </c>
      <c r="N68" s="125">
        <v>650000</v>
      </c>
      <c r="O68" s="126">
        <v>100000</v>
      </c>
      <c r="P68" s="130">
        <v>50000</v>
      </c>
      <c r="Q68" s="129">
        <f>SUM(H68:P68)</f>
        <v>2787660</v>
      </c>
    </row>
    <row r="69" spans="7:17" ht="15">
      <c r="G69" s="145" t="s">
        <v>13</v>
      </c>
      <c r="H69" s="146">
        <f>SUM(H66:H68)</f>
        <v>178400</v>
      </c>
      <c r="I69" s="146">
        <f aca="true" t="shared" si="2" ref="I69:Q69">SUM(I66:I68)</f>
        <v>60000</v>
      </c>
      <c r="J69" s="147">
        <f t="shared" si="2"/>
        <v>168960</v>
      </c>
      <c r="K69" s="146">
        <f t="shared" si="2"/>
        <v>533490</v>
      </c>
      <c r="L69" s="146">
        <f t="shared" si="2"/>
        <v>1310400</v>
      </c>
      <c r="M69" s="147">
        <f t="shared" si="2"/>
        <v>678000</v>
      </c>
      <c r="N69" s="146">
        <f t="shared" si="2"/>
        <v>2182500</v>
      </c>
      <c r="O69" s="146">
        <f t="shared" si="2"/>
        <v>785000</v>
      </c>
      <c r="P69" s="148">
        <f t="shared" si="2"/>
        <v>833286</v>
      </c>
      <c r="Q69" s="149">
        <f t="shared" si="2"/>
        <v>6730036</v>
      </c>
    </row>
    <row r="70" spans="7:17" s="78" customFormat="1" ht="14.25">
      <c r="G70" s="74" t="s">
        <v>15</v>
      </c>
      <c r="H70" s="209">
        <f>H66/($Q$13-$I$13)</f>
        <v>0.05509641873278237</v>
      </c>
      <c r="I70" s="75"/>
      <c r="J70" s="76">
        <f>J66/($Q$13-$I$13)</f>
        <v>0.03443526170798898</v>
      </c>
      <c r="K70" s="75">
        <f aca="true" t="shared" si="3" ref="K70:P70">K66/($Q$13-$I$13)</f>
        <v>0.10330578512396695</v>
      </c>
      <c r="L70" s="75">
        <f t="shared" si="3"/>
        <v>0.013774104683195593</v>
      </c>
      <c r="M70" s="76">
        <f t="shared" si="3"/>
        <v>0.013774104683195593</v>
      </c>
      <c r="N70" s="75">
        <f t="shared" si="3"/>
        <v>0.39600550964187325</v>
      </c>
      <c r="O70" s="75">
        <f t="shared" si="3"/>
        <v>0.12052341597796143</v>
      </c>
      <c r="P70" s="75">
        <f t="shared" si="3"/>
        <v>0.2630853994490358</v>
      </c>
      <c r="Q70" s="77">
        <f aca="true" t="shared" si="4" ref="Q70:Q75">SUM(H70:P70)</f>
        <v>1</v>
      </c>
    </row>
    <row r="71" spans="7:17" ht="15">
      <c r="G71" s="152" t="s">
        <v>14</v>
      </c>
      <c r="H71" s="210">
        <f>H70*$I$16</f>
        <v>3305.785123966942</v>
      </c>
      <c r="I71" s="131"/>
      <c r="J71" s="132">
        <f aca="true" t="shared" si="5" ref="J71:P71">J70*$I$16</f>
        <v>2066.115702479339</v>
      </c>
      <c r="K71" s="131">
        <f t="shared" si="5"/>
        <v>6198.347107438017</v>
      </c>
      <c r="L71" s="131">
        <f t="shared" si="5"/>
        <v>826.4462809917355</v>
      </c>
      <c r="M71" s="132">
        <f t="shared" si="5"/>
        <v>826.4462809917355</v>
      </c>
      <c r="N71" s="131">
        <f t="shared" si="5"/>
        <v>23760.330578512396</v>
      </c>
      <c r="O71" s="131">
        <f t="shared" si="5"/>
        <v>7231.4049586776855</v>
      </c>
      <c r="P71" s="131">
        <f t="shared" si="5"/>
        <v>15785.123966942148</v>
      </c>
      <c r="Q71" s="133">
        <f t="shared" si="4"/>
        <v>60000</v>
      </c>
    </row>
    <row r="72" spans="4:17" s="78" customFormat="1" ht="14.25">
      <c r="D72" s="87"/>
      <c r="G72" s="74" t="s">
        <v>16</v>
      </c>
      <c r="H72" s="83"/>
      <c r="I72" s="84"/>
      <c r="J72" s="85"/>
      <c r="K72" s="83"/>
      <c r="L72" s="84"/>
      <c r="M72" s="85"/>
      <c r="N72" s="83"/>
      <c r="O72" s="84"/>
      <c r="P72" s="86"/>
      <c r="Q72" s="77">
        <f t="shared" si="4"/>
        <v>0</v>
      </c>
    </row>
    <row r="73" spans="7:17" ht="15">
      <c r="G73" s="152" t="s">
        <v>17</v>
      </c>
      <c r="H73" s="80"/>
      <c r="I73" s="87"/>
      <c r="J73" s="81"/>
      <c r="K73" s="80"/>
      <c r="L73" s="87"/>
      <c r="M73" s="81"/>
      <c r="N73" s="131"/>
      <c r="O73" s="134"/>
      <c r="P73" s="137"/>
      <c r="Q73" s="133">
        <f t="shared" si="4"/>
        <v>0</v>
      </c>
    </row>
    <row r="74" spans="7:17" s="78" customFormat="1" ht="15">
      <c r="G74" s="74" t="s">
        <v>18</v>
      </c>
      <c r="H74" s="83"/>
      <c r="I74" s="84"/>
      <c r="J74" s="85"/>
      <c r="K74" s="83"/>
      <c r="L74" s="84"/>
      <c r="M74" s="85"/>
      <c r="N74" s="83"/>
      <c r="O74" s="84"/>
      <c r="P74" s="86"/>
      <c r="Q74" s="90">
        <f t="shared" si="4"/>
        <v>0</v>
      </c>
    </row>
    <row r="75" spans="7:17" ht="15">
      <c r="G75" s="152" t="s">
        <v>19</v>
      </c>
      <c r="H75" s="131"/>
      <c r="I75" s="134"/>
      <c r="J75" s="132"/>
      <c r="K75" s="131"/>
      <c r="L75" s="134"/>
      <c r="M75" s="132"/>
      <c r="N75" s="131"/>
      <c r="O75" s="134"/>
      <c r="P75" s="137"/>
      <c r="Q75" s="133">
        <f t="shared" si="4"/>
        <v>0</v>
      </c>
    </row>
    <row r="76" spans="7:17" ht="15">
      <c r="G76" s="79"/>
      <c r="H76" s="131"/>
      <c r="I76" s="216">
        <f>-I69</f>
        <v>-60000</v>
      </c>
      <c r="J76" s="132"/>
      <c r="K76" s="131"/>
      <c r="L76" s="134"/>
      <c r="M76" s="132"/>
      <c r="N76" s="134"/>
      <c r="O76" s="136"/>
      <c r="P76" s="134"/>
      <c r="Q76" s="133"/>
    </row>
    <row r="77" spans="7:17" s="59" customFormat="1" ht="15">
      <c r="G77" s="145" t="s">
        <v>67</v>
      </c>
      <c r="H77" s="148">
        <f>H69+H71+H76</f>
        <v>181705.78512396695</v>
      </c>
      <c r="I77" s="150">
        <f>I69+I76</f>
        <v>0</v>
      </c>
      <c r="J77" s="147">
        <f>J69+J71+J76</f>
        <v>171026.11570247935</v>
      </c>
      <c r="K77" s="148">
        <f>K69+K71+K73+K75</f>
        <v>539688.347107438</v>
      </c>
      <c r="L77" s="150">
        <f>L69+L71+L73+L75</f>
        <v>1311226.4462809917</v>
      </c>
      <c r="M77" s="147">
        <f>M69+M71+M73+M75</f>
        <v>678826.4462809918</v>
      </c>
      <c r="N77" s="278">
        <f>N69+N71+O69+O71+P69+P71</f>
        <v>3847562.859504132</v>
      </c>
      <c r="O77" s="278"/>
      <c r="P77" s="278"/>
      <c r="Q77" s="151">
        <f>SUM(H77:P77)</f>
        <v>6730036</v>
      </c>
    </row>
    <row r="78" spans="7:17" s="59" customFormat="1" ht="72">
      <c r="G78" s="79" t="s">
        <v>22</v>
      </c>
      <c r="H78" s="153" t="s">
        <v>64</v>
      </c>
      <c r="I78" s="91" t="s">
        <v>63</v>
      </c>
      <c r="J78" s="92" t="s">
        <v>64</v>
      </c>
      <c r="K78" s="153" t="s">
        <v>20</v>
      </c>
      <c r="L78" s="91" t="s">
        <v>21</v>
      </c>
      <c r="M78" s="92" t="s">
        <v>21</v>
      </c>
      <c r="N78" s="97"/>
      <c r="O78" s="98"/>
      <c r="P78" s="99"/>
      <c r="Q78" s="82"/>
    </row>
    <row r="79" spans="7:17" s="59" customFormat="1" ht="15">
      <c r="G79" s="79" t="s">
        <v>68</v>
      </c>
      <c r="H79" s="93"/>
      <c r="I79" s="94"/>
      <c r="J79" s="95"/>
      <c r="K79" s="93">
        <f>1800000+480000</f>
        <v>2280000</v>
      </c>
      <c r="L79" s="94">
        <f>7800</f>
        <v>7800</v>
      </c>
      <c r="M79" s="95">
        <f>18000</f>
        <v>18000</v>
      </c>
      <c r="N79" s="100"/>
      <c r="O79" s="98"/>
      <c r="P79" s="99"/>
      <c r="Q79" s="82"/>
    </row>
    <row r="80" spans="7:17" ht="15.75" customHeight="1" thickBot="1">
      <c r="G80" s="72" t="s">
        <v>100</v>
      </c>
      <c r="H80" s="101"/>
      <c r="I80" s="102"/>
      <c r="J80" s="103"/>
      <c r="K80" s="154">
        <f>K77/K79</f>
        <v>0.23670541539799914</v>
      </c>
      <c r="L80" s="155">
        <f>L77/L79</f>
        <v>168.10595465140918</v>
      </c>
      <c r="M80" s="156">
        <f>M77/M79</f>
        <v>37.71258034894399</v>
      </c>
      <c r="N80" s="101"/>
      <c r="O80" s="102"/>
      <c r="P80" s="104"/>
      <c r="Q80" s="72"/>
    </row>
    <row r="81" spans="7:17" s="212" customFormat="1" ht="15.75" customHeight="1">
      <c r="G81" s="213"/>
      <c r="H81" s="214"/>
      <c r="I81" s="214"/>
      <c r="J81" s="214"/>
      <c r="K81" s="215"/>
      <c r="L81" s="215"/>
      <c r="M81" s="215"/>
      <c r="N81" s="214"/>
      <c r="O81" s="214"/>
      <c r="P81" s="214"/>
      <c r="Q81" s="213"/>
    </row>
    <row r="82" spans="7:17" s="212" customFormat="1" ht="15.75" customHeight="1">
      <c r="G82" s="213"/>
      <c r="H82" s="214"/>
      <c r="I82" s="214"/>
      <c r="J82" s="214"/>
      <c r="K82" s="215"/>
      <c r="L82" s="215"/>
      <c r="M82" s="215"/>
      <c r="N82" s="214"/>
      <c r="O82" s="214"/>
      <c r="P82" s="214"/>
      <c r="Q82" s="213"/>
    </row>
    <row r="83" spans="5:17" s="212" customFormat="1" ht="15.75" customHeight="1">
      <c r="E83" s="224"/>
      <c r="F83" s="224"/>
      <c r="G83" s="225"/>
      <c r="H83" s="226"/>
      <c r="I83" s="226"/>
      <c r="J83" s="214"/>
      <c r="K83" s="215"/>
      <c r="L83" s="215"/>
      <c r="M83" s="215"/>
      <c r="N83" s="214"/>
      <c r="O83" s="214"/>
      <c r="P83" s="214"/>
      <c r="Q83" s="213"/>
    </row>
    <row r="84" spans="5:17" s="212" customFormat="1" ht="15.75" customHeight="1">
      <c r="E84" s="224"/>
      <c r="F84" s="224"/>
      <c r="G84" s="225" t="s">
        <v>112</v>
      </c>
      <c r="H84" s="226"/>
      <c r="I84" s="226"/>
      <c r="J84" s="214"/>
      <c r="K84" s="215"/>
      <c r="L84" s="215"/>
      <c r="M84" s="215"/>
      <c r="N84" s="214"/>
      <c r="O84" s="214"/>
      <c r="P84" s="214"/>
      <c r="Q84" s="213"/>
    </row>
    <row r="85" spans="7:17" s="212" customFormat="1" ht="15.75" customHeight="1">
      <c r="G85" s="213"/>
      <c r="H85" s="214"/>
      <c r="I85" s="214"/>
      <c r="J85" s="214"/>
      <c r="K85" s="215"/>
      <c r="L85" s="215"/>
      <c r="M85" s="215"/>
      <c r="N85" s="214"/>
      <c r="O85" s="214"/>
      <c r="P85" s="214"/>
      <c r="Q85" s="213"/>
    </row>
    <row r="86" spans="7:17" s="212" customFormat="1" ht="24.75" customHeight="1">
      <c r="G86" s="287" t="s">
        <v>105</v>
      </c>
      <c r="H86" s="287"/>
      <c r="I86" s="287"/>
      <c r="J86" s="287"/>
      <c r="K86" s="287"/>
      <c r="L86" s="287"/>
      <c r="M86" s="287"/>
      <c r="N86" s="287"/>
      <c r="O86" s="214"/>
      <c r="P86" s="214"/>
      <c r="Q86" s="213"/>
    </row>
    <row r="87" spans="7:17" s="212" customFormat="1" ht="15.75" customHeight="1">
      <c r="G87" s="213"/>
      <c r="H87" s="214"/>
      <c r="I87" s="214"/>
      <c r="J87" s="214"/>
      <c r="K87" s="215"/>
      <c r="L87" s="215"/>
      <c r="M87" s="215"/>
      <c r="N87" s="214"/>
      <c r="O87" s="214"/>
      <c r="P87" s="214"/>
      <c r="Q87" s="213"/>
    </row>
    <row r="88" spans="7:17" s="212" customFormat="1" ht="33.75" customHeight="1">
      <c r="G88" s="207" t="s">
        <v>106</v>
      </c>
      <c r="H88" s="288" t="s">
        <v>108</v>
      </c>
      <c r="I88" s="288"/>
      <c r="J88" s="288"/>
      <c r="K88" s="288"/>
      <c r="L88" s="288"/>
      <c r="M88" s="288"/>
      <c r="N88" s="288"/>
      <c r="O88" s="214"/>
      <c r="P88" s="214"/>
      <c r="Q88" s="213"/>
    </row>
    <row r="89" spans="8:17" s="212" customFormat="1" ht="43.5" customHeight="1">
      <c r="H89" s="289" t="s">
        <v>109</v>
      </c>
      <c r="I89" s="289"/>
      <c r="J89" s="289"/>
      <c r="K89" s="289"/>
      <c r="L89" s="289"/>
      <c r="M89" s="289"/>
      <c r="N89" s="289"/>
      <c r="O89" s="214"/>
      <c r="P89" s="214"/>
      <c r="Q89" s="213"/>
    </row>
    <row r="90" spans="7:17" s="212" customFormat="1" ht="15.75" customHeight="1">
      <c r="G90" s="213"/>
      <c r="H90" s="214"/>
      <c r="I90" s="214"/>
      <c r="J90" s="214"/>
      <c r="K90" s="215"/>
      <c r="L90" s="215"/>
      <c r="M90" s="215"/>
      <c r="N90" s="214"/>
      <c r="O90" s="214"/>
      <c r="P90" s="214"/>
      <c r="Q90" s="213"/>
    </row>
    <row r="91" spans="7:17" s="212" customFormat="1" ht="51" customHeight="1">
      <c r="G91" s="208" t="s">
        <v>107</v>
      </c>
      <c r="H91" s="290" t="s">
        <v>110</v>
      </c>
      <c r="I91" s="290"/>
      <c r="J91" s="290"/>
      <c r="K91" s="290"/>
      <c r="L91" s="290"/>
      <c r="M91" s="290"/>
      <c r="N91" s="290"/>
      <c r="O91" s="214"/>
      <c r="P91" s="214"/>
      <c r="Q91" s="213"/>
    </row>
    <row r="92" spans="7:17" s="212" customFormat="1" ht="15.75" customHeight="1">
      <c r="G92" s="213"/>
      <c r="H92" s="214"/>
      <c r="I92" s="214"/>
      <c r="J92" s="214"/>
      <c r="K92" s="215"/>
      <c r="L92" s="215"/>
      <c r="M92" s="215"/>
      <c r="N92" s="214"/>
      <c r="O92" s="214"/>
      <c r="P92" s="214"/>
      <c r="Q92" s="213"/>
    </row>
    <row r="93" spans="7:17" s="212" customFormat="1" ht="33" customHeight="1">
      <c r="G93" s="213"/>
      <c r="H93" s="289" t="s">
        <v>111</v>
      </c>
      <c r="I93" s="289"/>
      <c r="J93" s="289"/>
      <c r="K93" s="289"/>
      <c r="L93" s="289"/>
      <c r="M93" s="289"/>
      <c r="N93" s="289"/>
      <c r="O93" s="214"/>
      <c r="P93" s="214"/>
      <c r="Q93" s="213"/>
    </row>
    <row r="94" spans="7:17" s="212" customFormat="1" ht="15.75" customHeight="1">
      <c r="G94" s="213"/>
      <c r="H94" s="214"/>
      <c r="I94" s="214"/>
      <c r="J94" s="214"/>
      <c r="K94" s="215"/>
      <c r="L94" s="215"/>
      <c r="M94" s="215"/>
      <c r="N94" s="214"/>
      <c r="O94" s="214"/>
      <c r="P94" s="214"/>
      <c r="Q94" s="213"/>
    </row>
    <row r="95" spans="7:17" s="212" customFormat="1" ht="15.75" customHeight="1">
      <c r="G95" s="213"/>
      <c r="H95" s="214"/>
      <c r="I95" s="214"/>
      <c r="J95" s="214"/>
      <c r="K95" s="215"/>
      <c r="L95" s="215"/>
      <c r="M95" s="215"/>
      <c r="N95" s="214"/>
      <c r="O95" s="214"/>
      <c r="P95" s="214"/>
      <c r="Q95" s="213"/>
    </row>
    <row r="96" spans="7:17" s="212" customFormat="1" ht="15.75" customHeight="1">
      <c r="G96" s="213"/>
      <c r="H96" s="214"/>
      <c r="I96" s="214"/>
      <c r="J96" s="214"/>
      <c r="K96" s="215"/>
      <c r="L96" s="215"/>
      <c r="M96" s="215"/>
      <c r="N96" s="214"/>
      <c r="O96" s="214"/>
      <c r="P96" s="214"/>
      <c r="Q96" s="213"/>
    </row>
    <row r="97" ht="15.75" customHeight="1"/>
    <row r="98" ht="15.75" customHeight="1" thickBot="1"/>
    <row r="99" spans="7:17" ht="15.75" thickBot="1">
      <c r="G99" s="63"/>
      <c r="H99" s="282" t="s">
        <v>8</v>
      </c>
      <c r="I99" s="283"/>
      <c r="J99" s="284"/>
      <c r="K99" s="275" t="s">
        <v>9</v>
      </c>
      <c r="L99" s="276"/>
      <c r="M99" s="277"/>
      <c r="N99" s="275" t="s">
        <v>12</v>
      </c>
      <c r="O99" s="276"/>
      <c r="P99" s="277"/>
      <c r="Q99" s="64"/>
    </row>
    <row r="100" spans="7:17" ht="15.75" thickBot="1">
      <c r="G100" s="65" t="s">
        <v>59</v>
      </c>
      <c r="H100" s="221" t="s">
        <v>0</v>
      </c>
      <c r="I100" s="220" t="s">
        <v>1</v>
      </c>
      <c r="J100" s="223" t="s">
        <v>2</v>
      </c>
      <c r="K100" s="69" t="s">
        <v>3</v>
      </c>
      <c r="L100" s="231" t="s">
        <v>4</v>
      </c>
      <c r="M100" s="222" t="s">
        <v>5</v>
      </c>
      <c r="N100" s="66" t="s">
        <v>6</v>
      </c>
      <c r="O100" s="67" t="s">
        <v>10</v>
      </c>
      <c r="P100" s="71" t="s">
        <v>11</v>
      </c>
      <c r="Q100" s="72" t="s">
        <v>7</v>
      </c>
    </row>
    <row r="101" spans="7:17" ht="15">
      <c r="G101" s="73" t="s">
        <v>60</v>
      </c>
      <c r="H101" s="125">
        <v>160000</v>
      </c>
      <c r="I101" s="126">
        <v>50000</v>
      </c>
      <c r="J101" s="127">
        <v>100000</v>
      </c>
      <c r="K101" s="125">
        <v>300000</v>
      </c>
      <c r="L101" s="126">
        <v>40000</v>
      </c>
      <c r="M101" s="127">
        <v>40000</v>
      </c>
      <c r="N101" s="125">
        <v>1150000</v>
      </c>
      <c r="O101" s="128">
        <v>350000</v>
      </c>
      <c r="P101" s="126">
        <v>764000</v>
      </c>
      <c r="Q101" s="129">
        <f>SUM(H101:P101)</f>
        <v>2954000</v>
      </c>
    </row>
    <row r="102" spans="7:17" ht="15">
      <c r="G102" s="73" t="s">
        <v>61</v>
      </c>
      <c r="H102" s="125">
        <v>15200</v>
      </c>
      <c r="I102" s="126">
        <v>9000</v>
      </c>
      <c r="J102" s="127">
        <v>35500</v>
      </c>
      <c r="K102" s="125">
        <v>83490</v>
      </c>
      <c r="L102" s="126">
        <v>70400</v>
      </c>
      <c r="M102" s="127">
        <v>38000</v>
      </c>
      <c r="N102" s="125">
        <v>382500</v>
      </c>
      <c r="O102" s="126">
        <v>335000</v>
      </c>
      <c r="P102" s="130">
        <v>19286</v>
      </c>
      <c r="Q102" s="129">
        <f>SUM(H102:P102)</f>
        <v>988376</v>
      </c>
    </row>
    <row r="103" spans="7:17" ht="15">
      <c r="G103" s="73" t="s">
        <v>62</v>
      </c>
      <c r="H103" s="125">
        <v>3200</v>
      </c>
      <c r="I103" s="126">
        <v>1000</v>
      </c>
      <c r="J103" s="127">
        <v>33460</v>
      </c>
      <c r="K103" s="125">
        <v>150000</v>
      </c>
      <c r="L103" s="126">
        <v>1200000</v>
      </c>
      <c r="M103" s="127">
        <v>600000</v>
      </c>
      <c r="N103" s="125">
        <v>650000</v>
      </c>
      <c r="O103" s="126">
        <v>100000</v>
      </c>
      <c r="P103" s="130">
        <v>50000</v>
      </c>
      <c r="Q103" s="129">
        <f>SUM(H103:P103)</f>
        <v>2787660</v>
      </c>
    </row>
    <row r="104" spans="7:17" ht="15">
      <c r="G104" s="145" t="s">
        <v>13</v>
      </c>
      <c r="H104" s="146">
        <f>SUM(H101:H103)</f>
        <v>178400</v>
      </c>
      <c r="I104" s="146">
        <f aca="true" t="shared" si="6" ref="I104:Q104">SUM(I101:I103)</f>
        <v>60000</v>
      </c>
      <c r="J104" s="147">
        <f t="shared" si="6"/>
        <v>168960</v>
      </c>
      <c r="K104" s="146">
        <f t="shared" si="6"/>
        <v>533490</v>
      </c>
      <c r="L104" s="146">
        <f t="shared" si="6"/>
        <v>1310400</v>
      </c>
      <c r="M104" s="147">
        <f t="shared" si="6"/>
        <v>678000</v>
      </c>
      <c r="N104" s="146">
        <f t="shared" si="6"/>
        <v>2182500</v>
      </c>
      <c r="O104" s="146">
        <f t="shared" si="6"/>
        <v>785000</v>
      </c>
      <c r="P104" s="148">
        <f t="shared" si="6"/>
        <v>833286</v>
      </c>
      <c r="Q104" s="149">
        <f t="shared" si="6"/>
        <v>6730036</v>
      </c>
    </row>
    <row r="105" spans="7:17" s="78" customFormat="1" ht="14.25">
      <c r="G105" s="74" t="s">
        <v>15</v>
      </c>
      <c r="H105" s="218">
        <f>H101/($Q$13-$I$13)</f>
        <v>0.05509641873278237</v>
      </c>
      <c r="I105" s="75"/>
      <c r="J105" s="76">
        <f>J101/($Q$13-$I$13)</f>
        <v>0.03443526170798898</v>
      </c>
      <c r="K105" s="75">
        <f aca="true" t="shared" si="7" ref="K105:P105">K101/($Q$13-$I$13)</f>
        <v>0.10330578512396695</v>
      </c>
      <c r="L105" s="75">
        <f t="shared" si="7"/>
        <v>0.013774104683195593</v>
      </c>
      <c r="M105" s="76">
        <f t="shared" si="7"/>
        <v>0.013774104683195593</v>
      </c>
      <c r="N105" s="75">
        <f t="shared" si="7"/>
        <v>0.39600550964187325</v>
      </c>
      <c r="O105" s="75">
        <f t="shared" si="7"/>
        <v>0.12052341597796143</v>
      </c>
      <c r="P105" s="75">
        <f t="shared" si="7"/>
        <v>0.2630853994490358</v>
      </c>
      <c r="Q105" s="77">
        <f aca="true" t="shared" si="8" ref="Q105:Q110">SUM(H105:P105)</f>
        <v>1</v>
      </c>
    </row>
    <row r="106" spans="7:17" ht="15">
      <c r="G106" s="152" t="s">
        <v>14</v>
      </c>
      <c r="H106" s="219">
        <f>H105*$I$16</f>
        <v>3305.785123966942</v>
      </c>
      <c r="I106" s="131"/>
      <c r="J106" s="132">
        <f aca="true" t="shared" si="9" ref="J106:P106">J105*$I$16</f>
        <v>2066.115702479339</v>
      </c>
      <c r="K106" s="131">
        <f t="shared" si="9"/>
        <v>6198.347107438017</v>
      </c>
      <c r="L106" s="131">
        <f t="shared" si="9"/>
        <v>826.4462809917355</v>
      </c>
      <c r="M106" s="132">
        <f t="shared" si="9"/>
        <v>826.4462809917355</v>
      </c>
      <c r="N106" s="131">
        <f t="shared" si="9"/>
        <v>23760.330578512396</v>
      </c>
      <c r="O106" s="131">
        <f t="shared" si="9"/>
        <v>7231.4049586776855</v>
      </c>
      <c r="P106" s="131">
        <f t="shared" si="9"/>
        <v>15785.123966942148</v>
      </c>
      <c r="Q106" s="133">
        <f t="shared" si="8"/>
        <v>60000</v>
      </c>
    </row>
    <row r="107" spans="4:17" s="78" customFormat="1" ht="14.25">
      <c r="D107" s="87"/>
      <c r="G107" s="74" t="s">
        <v>16</v>
      </c>
      <c r="H107" s="217"/>
      <c r="I107" s="84"/>
      <c r="J107" s="85"/>
      <c r="K107" s="83"/>
      <c r="L107" s="229">
        <f>(6000+1800)/(18000+7800)</f>
        <v>0.3023255813953488</v>
      </c>
      <c r="M107" s="85"/>
      <c r="N107" s="83"/>
      <c r="O107" s="84"/>
      <c r="P107" s="86"/>
      <c r="Q107" s="77">
        <f t="shared" si="8"/>
        <v>0.3023255813953488</v>
      </c>
    </row>
    <row r="108" spans="7:17" ht="15">
      <c r="G108" s="152" t="s">
        <v>17</v>
      </c>
      <c r="H108" s="80"/>
      <c r="I108" s="87"/>
      <c r="J108" s="81"/>
      <c r="K108" s="80"/>
      <c r="L108" s="230">
        <f>L107*($H$16+$H$18)</f>
        <v>53934.88372093023</v>
      </c>
      <c r="M108" s="81"/>
      <c r="N108" s="131"/>
      <c r="O108" s="134"/>
      <c r="P108" s="137"/>
      <c r="Q108" s="133">
        <f t="shared" si="8"/>
        <v>53934.88372093023</v>
      </c>
    </row>
    <row r="109" spans="7:17" s="78" customFormat="1" ht="15">
      <c r="G109" s="74" t="s">
        <v>18</v>
      </c>
      <c r="H109" s="83"/>
      <c r="I109" s="84"/>
      <c r="J109" s="85"/>
      <c r="K109" s="83"/>
      <c r="L109" s="84"/>
      <c r="M109" s="85"/>
      <c r="N109" s="83"/>
      <c r="O109" s="84"/>
      <c r="P109" s="86"/>
      <c r="Q109" s="90">
        <f t="shared" si="8"/>
        <v>0</v>
      </c>
    </row>
    <row r="110" spans="7:17" ht="15">
      <c r="G110" s="152" t="s">
        <v>19</v>
      </c>
      <c r="H110" s="131"/>
      <c r="I110" s="134"/>
      <c r="J110" s="132"/>
      <c r="K110" s="131"/>
      <c r="L110" s="134">
        <f>L109*(-$J$23)</f>
        <v>0</v>
      </c>
      <c r="M110" s="132">
        <f>M109*(-$J$23)</f>
        <v>0</v>
      </c>
      <c r="N110" s="131"/>
      <c r="O110" s="134"/>
      <c r="P110" s="137"/>
      <c r="Q110" s="133">
        <f t="shared" si="8"/>
        <v>0</v>
      </c>
    </row>
    <row r="111" spans="7:17" ht="15">
      <c r="G111" s="79"/>
      <c r="H111" s="131">
        <f>(H104+H106)*-1</f>
        <v>-181705.78512396695</v>
      </c>
      <c r="I111" s="134">
        <f>-I104</f>
        <v>-60000</v>
      </c>
      <c r="J111" s="132">
        <f>-(J104+J106)</f>
        <v>-171026.11570247935</v>
      </c>
      <c r="K111" s="131"/>
      <c r="L111" s="134"/>
      <c r="M111" s="132"/>
      <c r="N111" s="134"/>
      <c r="O111" s="136"/>
      <c r="P111" s="134"/>
      <c r="Q111" s="133"/>
    </row>
    <row r="112" spans="7:17" s="59" customFormat="1" ht="15">
      <c r="G112" s="145" t="s">
        <v>67</v>
      </c>
      <c r="H112" s="148">
        <f>H104+H106+H111</f>
        <v>0</v>
      </c>
      <c r="I112" s="150">
        <f>I104+I111</f>
        <v>0</v>
      </c>
      <c r="J112" s="147">
        <f>J104+J106+J111</f>
        <v>0</v>
      </c>
      <c r="K112" s="148">
        <f>K104+K106+K108+K110</f>
        <v>539688.347107438</v>
      </c>
      <c r="L112" s="150">
        <f>L104+L106+L108+L110</f>
        <v>1365161.3300019219</v>
      </c>
      <c r="M112" s="147">
        <f>M104+M106+M108+M110</f>
        <v>678826.4462809918</v>
      </c>
      <c r="N112" s="278">
        <f>N104+N106+O104+O106+P104+P106</f>
        <v>3847562.859504132</v>
      </c>
      <c r="O112" s="278"/>
      <c r="P112" s="278"/>
      <c r="Q112" s="151">
        <f>SUM(H112:P112)</f>
        <v>6431238.982894484</v>
      </c>
    </row>
    <row r="113" spans="7:17" s="59" customFormat="1" ht="72">
      <c r="G113" s="79" t="s">
        <v>22</v>
      </c>
      <c r="H113" s="153" t="s">
        <v>64</v>
      </c>
      <c r="I113" s="91" t="s">
        <v>63</v>
      </c>
      <c r="J113" s="92" t="s">
        <v>64</v>
      </c>
      <c r="K113" s="153" t="s">
        <v>20</v>
      </c>
      <c r="L113" s="91" t="s">
        <v>21</v>
      </c>
      <c r="M113" s="92" t="s">
        <v>21</v>
      </c>
      <c r="N113" s="97"/>
      <c r="O113" s="98"/>
      <c r="P113" s="99"/>
      <c r="Q113" s="82"/>
    </row>
    <row r="114" spans="7:17" s="59" customFormat="1" ht="15">
      <c r="G114" s="79" t="s">
        <v>68</v>
      </c>
      <c r="H114" s="93"/>
      <c r="I114" s="94"/>
      <c r="J114" s="95"/>
      <c r="K114" s="93">
        <f>1800000+480000</f>
        <v>2280000</v>
      </c>
      <c r="L114" s="94">
        <f>7800</f>
        <v>7800</v>
      </c>
      <c r="M114" s="95">
        <f>18000</f>
        <v>18000</v>
      </c>
      <c r="N114" s="100"/>
      <c r="O114" s="98"/>
      <c r="P114" s="99"/>
      <c r="Q114" s="82"/>
    </row>
    <row r="115" spans="7:17" ht="15.75" customHeight="1" thickBot="1">
      <c r="G115" s="72" t="s">
        <v>100</v>
      </c>
      <c r="H115" s="101"/>
      <c r="I115" s="102"/>
      <c r="J115" s="103"/>
      <c r="K115" s="154">
        <f>K112/K114</f>
        <v>0.23670541539799914</v>
      </c>
      <c r="L115" s="155">
        <f>L112/L114</f>
        <v>175.0206833335797</v>
      </c>
      <c r="M115" s="156">
        <f>M112/M114</f>
        <v>37.71258034894399</v>
      </c>
      <c r="N115" s="101"/>
      <c r="O115" s="102"/>
      <c r="P115" s="104"/>
      <c r="Q115" s="72"/>
    </row>
    <row r="116" spans="7:17" s="212" customFormat="1" ht="15.75" customHeight="1">
      <c r="G116" s="213"/>
      <c r="H116" s="214"/>
      <c r="I116" s="214"/>
      <c r="J116" s="214"/>
      <c r="K116" s="215"/>
      <c r="L116" s="215"/>
      <c r="M116" s="215"/>
      <c r="N116" s="214"/>
      <c r="O116" s="214"/>
      <c r="P116" s="214"/>
      <c r="Q116" s="213"/>
    </row>
    <row r="117" spans="7:17" s="212" customFormat="1" ht="15.75" customHeight="1">
      <c r="G117" s="213"/>
      <c r="H117" s="214"/>
      <c r="I117" s="214"/>
      <c r="J117" s="214"/>
      <c r="K117" s="215"/>
      <c r="L117" s="215"/>
      <c r="M117" s="215"/>
      <c r="N117" s="214"/>
      <c r="O117" s="214"/>
      <c r="P117" s="214"/>
      <c r="Q117" s="213"/>
    </row>
    <row r="118" spans="7:17" s="212" customFormat="1" ht="15.75" customHeight="1">
      <c r="G118" s="213"/>
      <c r="H118" s="214"/>
      <c r="I118" s="214"/>
      <c r="J118" s="214"/>
      <c r="K118" s="215"/>
      <c r="L118" s="215"/>
      <c r="M118" s="215"/>
      <c r="N118" s="214"/>
      <c r="O118" s="214"/>
      <c r="P118" s="214"/>
      <c r="Q118" s="213"/>
    </row>
    <row r="119" spans="7:17" s="212" customFormat="1" ht="15.75" customHeight="1">
      <c r="G119" s="213"/>
      <c r="H119" s="214"/>
      <c r="I119" s="214"/>
      <c r="J119" s="214"/>
      <c r="K119" s="215"/>
      <c r="L119" s="215"/>
      <c r="M119" s="215"/>
      <c r="N119" s="214"/>
      <c r="O119" s="214"/>
      <c r="P119" s="214"/>
      <c r="Q119" s="213"/>
    </row>
    <row r="120" spans="7:17" s="212" customFormat="1" ht="15.75" customHeight="1">
      <c r="G120" s="213"/>
      <c r="H120" s="214"/>
      <c r="I120" s="214"/>
      <c r="J120" s="214"/>
      <c r="K120" s="215"/>
      <c r="L120" s="215"/>
      <c r="M120" s="215"/>
      <c r="N120" s="214"/>
      <c r="O120" s="214"/>
      <c r="P120" s="214"/>
      <c r="Q120" s="213"/>
    </row>
    <row r="121" spans="7:17" s="212" customFormat="1" ht="15.75" customHeight="1">
      <c r="G121" s="213"/>
      <c r="H121" s="214"/>
      <c r="I121" s="214"/>
      <c r="J121" s="214"/>
      <c r="K121" s="215"/>
      <c r="L121" s="215"/>
      <c r="M121" s="215"/>
      <c r="N121" s="214"/>
      <c r="O121" s="214"/>
      <c r="P121" s="214"/>
      <c r="Q121" s="213"/>
    </row>
    <row r="122" spans="7:17" s="212" customFormat="1" ht="15.75" customHeight="1" thickBot="1">
      <c r="G122" s="213"/>
      <c r="H122" s="214"/>
      <c r="I122" s="214"/>
      <c r="J122" s="214"/>
      <c r="K122" s="215"/>
      <c r="L122" s="215"/>
      <c r="M122" s="215"/>
      <c r="N122" s="214"/>
      <c r="O122" s="214"/>
      <c r="P122" s="214"/>
      <c r="Q122" s="213"/>
    </row>
    <row r="123" spans="7:17" ht="15.75" thickBot="1">
      <c r="G123" s="63"/>
      <c r="H123" s="282" t="s">
        <v>8</v>
      </c>
      <c r="I123" s="283"/>
      <c r="J123" s="284"/>
      <c r="K123" s="275" t="s">
        <v>9</v>
      </c>
      <c r="L123" s="276"/>
      <c r="M123" s="277"/>
      <c r="N123" s="275" t="s">
        <v>12</v>
      </c>
      <c r="O123" s="276"/>
      <c r="P123" s="277"/>
      <c r="Q123" s="64"/>
    </row>
    <row r="124" spans="7:17" ht="15.75" thickBot="1">
      <c r="G124" s="65" t="s">
        <v>59</v>
      </c>
      <c r="H124" s="221" t="s">
        <v>0</v>
      </c>
      <c r="I124" s="220" t="s">
        <v>1</v>
      </c>
      <c r="J124" s="223" t="s">
        <v>2</v>
      </c>
      <c r="K124" s="69" t="s">
        <v>3</v>
      </c>
      <c r="L124" s="235" t="s">
        <v>4</v>
      </c>
      <c r="M124" s="236" t="s">
        <v>5</v>
      </c>
      <c r="N124" s="66" t="s">
        <v>6</v>
      </c>
      <c r="O124" s="67" t="s">
        <v>10</v>
      </c>
      <c r="P124" s="71" t="s">
        <v>11</v>
      </c>
      <c r="Q124" s="72" t="s">
        <v>7</v>
      </c>
    </row>
    <row r="125" spans="7:17" ht="15">
      <c r="G125" s="73" t="s">
        <v>60</v>
      </c>
      <c r="H125" s="125">
        <v>160000</v>
      </c>
      <c r="I125" s="126">
        <v>50000</v>
      </c>
      <c r="J125" s="127">
        <v>100000</v>
      </c>
      <c r="K125" s="125">
        <v>300000</v>
      </c>
      <c r="L125" s="126">
        <v>40000</v>
      </c>
      <c r="M125" s="127">
        <v>40000</v>
      </c>
      <c r="N125" s="125">
        <v>1150000</v>
      </c>
      <c r="O125" s="128">
        <v>350000</v>
      </c>
      <c r="P125" s="126">
        <v>764000</v>
      </c>
      <c r="Q125" s="129">
        <f>SUM(H125:P125)</f>
        <v>2954000</v>
      </c>
    </row>
    <row r="126" spans="7:17" ht="15">
      <c r="G126" s="73" t="s">
        <v>61</v>
      </c>
      <c r="H126" s="125">
        <v>15200</v>
      </c>
      <c r="I126" s="126">
        <v>9000</v>
      </c>
      <c r="J126" s="127">
        <v>35500</v>
      </c>
      <c r="K126" s="125">
        <v>83490</v>
      </c>
      <c r="L126" s="126">
        <v>70400</v>
      </c>
      <c r="M126" s="127">
        <v>38000</v>
      </c>
      <c r="N126" s="125">
        <v>382500</v>
      </c>
      <c r="O126" s="126">
        <v>335000</v>
      </c>
      <c r="P126" s="130">
        <v>19286</v>
      </c>
      <c r="Q126" s="129">
        <f>SUM(H126:P126)</f>
        <v>988376</v>
      </c>
    </row>
    <row r="127" spans="7:17" ht="15">
      <c r="G127" s="73" t="s">
        <v>62</v>
      </c>
      <c r="H127" s="125">
        <v>3200</v>
      </c>
      <c r="I127" s="126">
        <v>1000</v>
      </c>
      <c r="J127" s="127">
        <v>33460</v>
      </c>
      <c r="K127" s="125">
        <v>150000</v>
      </c>
      <c r="L127" s="126">
        <v>1200000</v>
      </c>
      <c r="M127" s="127">
        <v>600000</v>
      </c>
      <c r="N127" s="125">
        <v>650000</v>
      </c>
      <c r="O127" s="126">
        <v>100000</v>
      </c>
      <c r="P127" s="130">
        <v>50000</v>
      </c>
      <c r="Q127" s="129">
        <f>SUM(H127:P127)</f>
        <v>2787660</v>
      </c>
    </row>
    <row r="128" spans="7:17" ht="15">
      <c r="G128" s="145" t="s">
        <v>13</v>
      </c>
      <c r="H128" s="146">
        <f>SUM(H125:H127)</f>
        <v>178400</v>
      </c>
      <c r="I128" s="146">
        <f aca="true" t="shared" si="10" ref="I128:Q128">SUM(I125:I127)</f>
        <v>60000</v>
      </c>
      <c r="J128" s="147">
        <f t="shared" si="10"/>
        <v>168960</v>
      </c>
      <c r="K128" s="146">
        <f t="shared" si="10"/>
        <v>533490</v>
      </c>
      <c r="L128" s="146">
        <f t="shared" si="10"/>
        <v>1310400</v>
      </c>
      <c r="M128" s="147">
        <f t="shared" si="10"/>
        <v>678000</v>
      </c>
      <c r="N128" s="146">
        <f t="shared" si="10"/>
        <v>2182500</v>
      </c>
      <c r="O128" s="146">
        <f t="shared" si="10"/>
        <v>785000</v>
      </c>
      <c r="P128" s="148">
        <f t="shared" si="10"/>
        <v>833286</v>
      </c>
      <c r="Q128" s="149">
        <f t="shared" si="10"/>
        <v>6730036</v>
      </c>
    </row>
    <row r="129" spans="7:17" s="78" customFormat="1" ht="14.25">
      <c r="G129" s="74" t="s">
        <v>15</v>
      </c>
      <c r="H129" s="218">
        <f>H125/($Q$13-$I$13)</f>
        <v>0.05509641873278237</v>
      </c>
      <c r="I129" s="75"/>
      <c r="J129" s="76">
        <f>J125/($Q$13-$I$13)</f>
        <v>0.03443526170798898</v>
      </c>
      <c r="K129" s="75">
        <f aca="true" t="shared" si="11" ref="K129:P129">K125/($Q$13-$I$13)</f>
        <v>0.10330578512396695</v>
      </c>
      <c r="L129" s="75">
        <f t="shared" si="11"/>
        <v>0.013774104683195593</v>
      </c>
      <c r="M129" s="76">
        <f t="shared" si="11"/>
        <v>0.013774104683195593</v>
      </c>
      <c r="N129" s="75">
        <f t="shared" si="11"/>
        <v>0.39600550964187325</v>
      </c>
      <c r="O129" s="75">
        <f t="shared" si="11"/>
        <v>0.12052341597796143</v>
      </c>
      <c r="P129" s="75">
        <f t="shared" si="11"/>
        <v>0.2630853994490358</v>
      </c>
      <c r="Q129" s="77">
        <f aca="true" t="shared" si="12" ref="Q129:Q134">SUM(H129:P129)</f>
        <v>1</v>
      </c>
    </row>
    <row r="130" spans="7:17" ht="15">
      <c r="G130" s="152" t="s">
        <v>14</v>
      </c>
      <c r="H130" s="219">
        <f>H129*$I$16</f>
        <v>3305.785123966942</v>
      </c>
      <c r="I130" s="131"/>
      <c r="J130" s="132">
        <f aca="true" t="shared" si="13" ref="J130:P130">J129*$I$16</f>
        <v>2066.115702479339</v>
      </c>
      <c r="K130" s="131">
        <f t="shared" si="13"/>
        <v>6198.347107438017</v>
      </c>
      <c r="L130" s="131">
        <f t="shared" si="13"/>
        <v>826.4462809917355</v>
      </c>
      <c r="M130" s="132">
        <f t="shared" si="13"/>
        <v>826.4462809917355</v>
      </c>
      <c r="N130" s="131">
        <f t="shared" si="13"/>
        <v>23760.330578512396</v>
      </c>
      <c r="O130" s="131">
        <f t="shared" si="13"/>
        <v>7231.4049586776855</v>
      </c>
      <c r="P130" s="131">
        <f t="shared" si="13"/>
        <v>15785.123966942148</v>
      </c>
      <c r="Q130" s="133">
        <f t="shared" si="12"/>
        <v>60000</v>
      </c>
    </row>
    <row r="131" spans="4:17" s="78" customFormat="1" ht="14.25">
      <c r="D131" s="87"/>
      <c r="G131" s="74" t="s">
        <v>16</v>
      </c>
      <c r="H131" s="217"/>
      <c r="I131" s="84"/>
      <c r="J131" s="85"/>
      <c r="K131" s="83"/>
      <c r="L131" s="227">
        <f>(6000+1800)/(18000+7800)</f>
        <v>0.3023255813953488</v>
      </c>
      <c r="M131" s="232">
        <f>(12000+6000)/(18000+7800)</f>
        <v>0.6976744186046512</v>
      </c>
      <c r="N131" s="83"/>
      <c r="O131" s="84"/>
      <c r="P131" s="86"/>
      <c r="Q131" s="77">
        <f t="shared" si="12"/>
        <v>1</v>
      </c>
    </row>
    <row r="132" spans="7:17" ht="15">
      <c r="G132" s="152" t="s">
        <v>17</v>
      </c>
      <c r="H132" s="80"/>
      <c r="I132" s="87"/>
      <c r="J132" s="81"/>
      <c r="K132" s="80"/>
      <c r="L132" s="228">
        <f>L131*($H$16+$H$18)</f>
        <v>53934.88372093023</v>
      </c>
      <c r="M132" s="233">
        <f>M131*($H$16+$H$18)</f>
        <v>124465.11627906977</v>
      </c>
      <c r="N132" s="131"/>
      <c r="O132" s="134"/>
      <c r="P132" s="137"/>
      <c r="Q132" s="133">
        <f t="shared" si="12"/>
        <v>178400</v>
      </c>
    </row>
    <row r="133" spans="7:17" s="78" customFormat="1" ht="15">
      <c r="G133" s="74" t="s">
        <v>18</v>
      </c>
      <c r="H133" s="83"/>
      <c r="I133" s="84"/>
      <c r="J133" s="85"/>
      <c r="K133" s="83"/>
      <c r="L133" s="84"/>
      <c r="M133" s="85"/>
      <c r="N133" s="83"/>
      <c r="O133" s="84"/>
      <c r="P133" s="86"/>
      <c r="Q133" s="90">
        <f t="shared" si="12"/>
        <v>0</v>
      </c>
    </row>
    <row r="134" spans="7:17" ht="15">
      <c r="G134" s="152" t="s">
        <v>19</v>
      </c>
      <c r="H134" s="131"/>
      <c r="I134" s="134"/>
      <c r="J134" s="132"/>
      <c r="K134" s="131"/>
      <c r="L134" s="134">
        <f>L133*(-$J$23)</f>
        <v>0</v>
      </c>
      <c r="M134" s="132">
        <f>M133*(-$J$23)</f>
        <v>0</v>
      </c>
      <c r="N134" s="131"/>
      <c r="O134" s="134"/>
      <c r="P134" s="137"/>
      <c r="Q134" s="133">
        <f t="shared" si="12"/>
        <v>0</v>
      </c>
    </row>
    <row r="135" spans="7:17" ht="15">
      <c r="G135" s="79"/>
      <c r="H135" s="210">
        <f>(H128+H130)*-1</f>
        <v>-181705.78512396695</v>
      </c>
      <c r="I135" s="216">
        <f>-I128</f>
        <v>-60000</v>
      </c>
      <c r="J135" s="234">
        <f>-(J128+J130)</f>
        <v>-171026.11570247935</v>
      </c>
      <c r="K135" s="131"/>
      <c r="L135" s="134"/>
      <c r="M135" s="132"/>
      <c r="N135" s="134"/>
      <c r="O135" s="136"/>
      <c r="P135" s="134"/>
      <c r="Q135" s="133"/>
    </row>
    <row r="136" spans="7:17" s="59" customFormat="1" ht="15">
      <c r="G136" s="145" t="s">
        <v>67</v>
      </c>
      <c r="H136" s="148">
        <f>H128+H130+H135</f>
        <v>0</v>
      </c>
      <c r="I136" s="150">
        <f>I128+I135</f>
        <v>0</v>
      </c>
      <c r="J136" s="147">
        <f>J128+J130+J135</f>
        <v>0</v>
      </c>
      <c r="K136" s="148">
        <f>K128+K130+K132+K134</f>
        <v>539688.347107438</v>
      </c>
      <c r="L136" s="150">
        <f>L128+L130+L132+L134</f>
        <v>1365161.3300019219</v>
      </c>
      <c r="M136" s="147">
        <f>M128+M130+M132+M134</f>
        <v>803291.5625600616</v>
      </c>
      <c r="N136" s="278">
        <f>N128+N130+O128+O130+P128+P130</f>
        <v>3847562.859504132</v>
      </c>
      <c r="O136" s="278"/>
      <c r="P136" s="278"/>
      <c r="Q136" s="151">
        <f>SUM(H136:P136)</f>
        <v>6555704.099173553</v>
      </c>
    </row>
    <row r="137" spans="7:17" s="59" customFormat="1" ht="72">
      <c r="G137" s="79" t="s">
        <v>22</v>
      </c>
      <c r="H137" s="153" t="s">
        <v>64</v>
      </c>
      <c r="I137" s="91" t="s">
        <v>63</v>
      </c>
      <c r="J137" s="92" t="s">
        <v>64</v>
      </c>
      <c r="K137" s="153" t="s">
        <v>20</v>
      </c>
      <c r="L137" s="91" t="s">
        <v>21</v>
      </c>
      <c r="M137" s="92" t="s">
        <v>21</v>
      </c>
      <c r="N137" s="97"/>
      <c r="O137" s="98"/>
      <c r="P137" s="99"/>
      <c r="Q137" s="82"/>
    </row>
    <row r="138" spans="7:17" s="59" customFormat="1" ht="15">
      <c r="G138" s="79" t="s">
        <v>68</v>
      </c>
      <c r="H138" s="93"/>
      <c r="I138" s="94"/>
      <c r="J138" s="95"/>
      <c r="K138" s="93">
        <f>1800000+480000</f>
        <v>2280000</v>
      </c>
      <c r="L138" s="94">
        <f>7800</f>
        <v>7800</v>
      </c>
      <c r="M138" s="95">
        <f>18000</f>
        <v>18000</v>
      </c>
      <c r="N138" s="100"/>
      <c r="O138" s="98"/>
      <c r="P138" s="99"/>
      <c r="Q138" s="82"/>
    </row>
    <row r="139" spans="7:17" ht="15.75" customHeight="1" thickBot="1">
      <c r="G139" s="72" t="s">
        <v>100</v>
      </c>
      <c r="H139" s="101"/>
      <c r="I139" s="102"/>
      <c r="J139" s="103"/>
      <c r="K139" s="154">
        <f>K136/K138</f>
        <v>0.23670541539799914</v>
      </c>
      <c r="L139" s="155">
        <f>L136/L138</f>
        <v>175.0206833335797</v>
      </c>
      <c r="M139" s="156">
        <f>M136/M138</f>
        <v>44.627309031114535</v>
      </c>
      <c r="N139" s="101"/>
      <c r="O139" s="102"/>
      <c r="P139" s="104"/>
      <c r="Q139" s="72"/>
    </row>
    <row r="140" ht="15.75" customHeight="1"/>
    <row r="141" ht="15.75" customHeight="1"/>
    <row r="142" ht="15.75" customHeight="1"/>
    <row r="143" ht="15.75" customHeight="1"/>
    <row r="144" ht="15.75" customHeight="1"/>
    <row r="145" ht="15.75" customHeight="1"/>
    <row r="146" ht="15.75" customHeight="1" thickBot="1"/>
    <row r="147" spans="7:17" ht="15.75" thickBot="1">
      <c r="G147" s="63"/>
      <c r="H147" s="275" t="s">
        <v>8</v>
      </c>
      <c r="I147" s="276"/>
      <c r="J147" s="277"/>
      <c r="K147" s="275" t="s">
        <v>9</v>
      </c>
      <c r="L147" s="276"/>
      <c r="M147" s="277"/>
      <c r="N147" s="275" t="s">
        <v>12</v>
      </c>
      <c r="O147" s="276"/>
      <c r="P147" s="277"/>
      <c r="Q147" s="64"/>
    </row>
    <row r="148" spans="7:17" ht="15.75" thickBot="1">
      <c r="G148" s="65" t="s">
        <v>59</v>
      </c>
      <c r="H148" s="66" t="s">
        <v>0</v>
      </c>
      <c r="I148" s="67" t="s">
        <v>1</v>
      </c>
      <c r="J148" s="68" t="s">
        <v>2</v>
      </c>
      <c r="K148" s="69" t="s">
        <v>3</v>
      </c>
      <c r="L148" s="70" t="s">
        <v>4</v>
      </c>
      <c r="M148" s="68" t="s">
        <v>5</v>
      </c>
      <c r="N148" s="66" t="s">
        <v>6</v>
      </c>
      <c r="O148" s="67" t="s">
        <v>10</v>
      </c>
      <c r="P148" s="71" t="s">
        <v>11</v>
      </c>
      <c r="Q148" s="72" t="s">
        <v>7</v>
      </c>
    </row>
    <row r="149" spans="7:17" ht="15">
      <c r="G149" s="73" t="s">
        <v>60</v>
      </c>
      <c r="H149" s="125">
        <v>160000</v>
      </c>
      <c r="I149" s="126">
        <v>50000</v>
      </c>
      <c r="J149" s="127">
        <v>100000</v>
      </c>
      <c r="K149" s="125">
        <v>300000</v>
      </c>
      <c r="L149" s="126">
        <v>40000</v>
      </c>
      <c r="M149" s="127">
        <v>40000</v>
      </c>
      <c r="N149" s="125">
        <v>1150000</v>
      </c>
      <c r="O149" s="128">
        <v>350000</v>
      </c>
      <c r="P149" s="126">
        <v>764000</v>
      </c>
      <c r="Q149" s="129">
        <f>SUM(H149:P149)</f>
        <v>2954000</v>
      </c>
    </row>
    <row r="150" spans="7:17" ht="15">
      <c r="G150" s="73" t="s">
        <v>61</v>
      </c>
      <c r="H150" s="125">
        <v>15200</v>
      </c>
      <c r="I150" s="126">
        <v>9000</v>
      </c>
      <c r="J150" s="127">
        <v>35500</v>
      </c>
      <c r="K150" s="125">
        <v>83490</v>
      </c>
      <c r="L150" s="126">
        <v>70400</v>
      </c>
      <c r="M150" s="127">
        <v>38000</v>
      </c>
      <c r="N150" s="125">
        <v>382500</v>
      </c>
      <c r="O150" s="126">
        <v>335000</v>
      </c>
      <c r="P150" s="130">
        <v>19286</v>
      </c>
      <c r="Q150" s="129">
        <f>SUM(H150:P150)</f>
        <v>988376</v>
      </c>
    </row>
    <row r="151" spans="7:17" ht="15">
      <c r="G151" s="73" t="s">
        <v>62</v>
      </c>
      <c r="H151" s="125">
        <v>3200</v>
      </c>
      <c r="I151" s="126">
        <v>1000</v>
      </c>
      <c r="J151" s="127">
        <v>33460</v>
      </c>
      <c r="K151" s="125">
        <v>150000</v>
      </c>
      <c r="L151" s="126">
        <v>1200000</v>
      </c>
      <c r="M151" s="127">
        <v>600000</v>
      </c>
      <c r="N151" s="125">
        <v>650000</v>
      </c>
      <c r="O151" s="126">
        <v>100000</v>
      </c>
      <c r="P151" s="130">
        <v>50000</v>
      </c>
      <c r="Q151" s="129">
        <f>SUM(H151:P151)</f>
        <v>2787660</v>
      </c>
    </row>
    <row r="152" spans="7:17" ht="15">
      <c r="G152" s="145" t="s">
        <v>13</v>
      </c>
      <c r="H152" s="146">
        <f>SUM(H149:H151)</f>
        <v>178400</v>
      </c>
      <c r="I152" s="146">
        <f aca="true" t="shared" si="14" ref="I152:Q152">SUM(I149:I151)</f>
        <v>60000</v>
      </c>
      <c r="J152" s="147">
        <f t="shared" si="14"/>
        <v>168960</v>
      </c>
      <c r="K152" s="146">
        <f t="shared" si="14"/>
        <v>533490</v>
      </c>
      <c r="L152" s="146">
        <f t="shared" si="14"/>
        <v>1310400</v>
      </c>
      <c r="M152" s="147">
        <f t="shared" si="14"/>
        <v>678000</v>
      </c>
      <c r="N152" s="146">
        <f t="shared" si="14"/>
        <v>2182500</v>
      </c>
      <c r="O152" s="146">
        <f t="shared" si="14"/>
        <v>785000</v>
      </c>
      <c r="P152" s="148">
        <f t="shared" si="14"/>
        <v>833286</v>
      </c>
      <c r="Q152" s="149">
        <f t="shared" si="14"/>
        <v>6730036</v>
      </c>
    </row>
    <row r="153" spans="7:17" s="78" customFormat="1" ht="14.25">
      <c r="G153" s="74" t="s">
        <v>15</v>
      </c>
      <c r="H153" s="75">
        <f>H149/($Q$13-$I$13)</f>
        <v>0.05509641873278237</v>
      </c>
      <c r="I153" s="75"/>
      <c r="J153" s="76">
        <f>J149/($Q$13-$I$13)</f>
        <v>0.03443526170798898</v>
      </c>
      <c r="K153" s="75">
        <f aca="true" t="shared" si="15" ref="K153:P153">K149/($Q$13-$I$13)</f>
        <v>0.10330578512396695</v>
      </c>
      <c r="L153" s="75">
        <f t="shared" si="15"/>
        <v>0.013774104683195593</v>
      </c>
      <c r="M153" s="76">
        <f t="shared" si="15"/>
        <v>0.013774104683195593</v>
      </c>
      <c r="N153" s="75">
        <f t="shared" si="15"/>
        <v>0.39600550964187325</v>
      </c>
      <c r="O153" s="75">
        <f t="shared" si="15"/>
        <v>0.12052341597796143</v>
      </c>
      <c r="P153" s="75">
        <f t="shared" si="15"/>
        <v>0.2630853994490358</v>
      </c>
      <c r="Q153" s="77">
        <f>SUM(H153:P153)</f>
        <v>1</v>
      </c>
    </row>
    <row r="154" spans="7:17" ht="15">
      <c r="G154" s="152" t="s">
        <v>14</v>
      </c>
      <c r="H154" s="131">
        <f>H153*$I$16</f>
        <v>3305.785123966942</v>
      </c>
      <c r="I154" s="131"/>
      <c r="J154" s="132">
        <f aca="true" t="shared" si="16" ref="J154:P154">J153*$I$16</f>
        <v>2066.115702479339</v>
      </c>
      <c r="K154" s="131">
        <f t="shared" si="16"/>
        <v>6198.347107438017</v>
      </c>
      <c r="L154" s="131">
        <f t="shared" si="16"/>
        <v>826.4462809917355</v>
      </c>
      <c r="M154" s="132">
        <f t="shared" si="16"/>
        <v>826.4462809917355</v>
      </c>
      <c r="N154" s="131">
        <f t="shared" si="16"/>
        <v>23760.330578512396</v>
      </c>
      <c r="O154" s="131">
        <f t="shared" si="16"/>
        <v>7231.4049586776855</v>
      </c>
      <c r="P154" s="131">
        <f t="shared" si="16"/>
        <v>15785.123966942148</v>
      </c>
      <c r="Q154" s="133">
        <f aca="true" t="shared" si="17" ref="Q154:Q160">SUM(H154:P154)</f>
        <v>60000</v>
      </c>
    </row>
    <row r="155" spans="4:17" s="78" customFormat="1" ht="14.25">
      <c r="D155" s="87"/>
      <c r="G155" s="74" t="s">
        <v>16</v>
      </c>
      <c r="H155" s="83"/>
      <c r="I155" s="84"/>
      <c r="J155" s="85"/>
      <c r="K155" s="83"/>
      <c r="L155" s="229">
        <f>(6000+1800)/(18000+7800)</f>
        <v>0.3023255813953488</v>
      </c>
      <c r="M155" s="237">
        <f>(12000+6000)/(18000+7800)</f>
        <v>0.6976744186046512</v>
      </c>
      <c r="N155" s="83"/>
      <c r="O155" s="84"/>
      <c r="P155" s="86"/>
      <c r="Q155" s="77">
        <f t="shared" si="17"/>
        <v>1</v>
      </c>
    </row>
    <row r="156" spans="7:17" ht="15">
      <c r="G156" s="152" t="s">
        <v>17</v>
      </c>
      <c r="H156" s="80"/>
      <c r="I156" s="87"/>
      <c r="J156" s="81"/>
      <c r="K156" s="80"/>
      <c r="L156" s="230">
        <f>L155*($H$16+$H$18)</f>
        <v>53934.88372093023</v>
      </c>
      <c r="M156" s="238">
        <f>M155*($H$16+$H$18)</f>
        <v>124465.11627906977</v>
      </c>
      <c r="N156" s="131"/>
      <c r="O156" s="134"/>
      <c r="P156" s="137"/>
      <c r="Q156" s="133">
        <f t="shared" si="17"/>
        <v>178400</v>
      </c>
    </row>
    <row r="157" spans="7:17" s="78" customFormat="1" ht="15">
      <c r="G157" s="74" t="s">
        <v>18</v>
      </c>
      <c r="H157" s="83"/>
      <c r="I157" s="84"/>
      <c r="J157" s="85"/>
      <c r="K157" s="83"/>
      <c r="L157" s="229">
        <f>L155</f>
        <v>0.3023255813953488</v>
      </c>
      <c r="M157" s="237">
        <f>M155</f>
        <v>0.6976744186046512</v>
      </c>
      <c r="N157" s="83"/>
      <c r="O157" s="84"/>
      <c r="P157" s="86"/>
      <c r="Q157" s="90">
        <f t="shared" si="17"/>
        <v>1</v>
      </c>
    </row>
    <row r="158" spans="7:17" ht="15">
      <c r="G158" s="152" t="s">
        <v>19</v>
      </c>
      <c r="H158" s="131"/>
      <c r="I158" s="134"/>
      <c r="J158" s="132"/>
      <c r="K158" s="131"/>
      <c r="L158" s="216">
        <f>L157*(-$J$159)</f>
        <v>51705.569863540266</v>
      </c>
      <c r="M158" s="234">
        <f>M157*(-$J$159)</f>
        <v>119320.54583893908</v>
      </c>
      <c r="N158" s="131"/>
      <c r="O158" s="134"/>
      <c r="P158" s="137"/>
      <c r="Q158" s="133">
        <f t="shared" si="17"/>
        <v>171026.11570247935</v>
      </c>
    </row>
    <row r="159" spans="7:17" ht="15">
      <c r="G159" s="79"/>
      <c r="H159" s="210">
        <f>(H152+H154)*-1</f>
        <v>-181705.78512396695</v>
      </c>
      <c r="I159" s="216">
        <f>-I152</f>
        <v>-60000</v>
      </c>
      <c r="J159" s="234">
        <f>-(J152+J154)</f>
        <v>-171026.11570247935</v>
      </c>
      <c r="K159" s="131"/>
      <c r="L159" s="134"/>
      <c r="M159" s="132"/>
      <c r="N159" s="134"/>
      <c r="O159" s="136"/>
      <c r="P159" s="134"/>
      <c r="Q159" s="133"/>
    </row>
    <row r="160" spans="7:17" s="59" customFormat="1" ht="15">
      <c r="G160" s="145" t="s">
        <v>67</v>
      </c>
      <c r="H160" s="148">
        <f>H152+H154+H159</f>
        <v>0</v>
      </c>
      <c r="I160" s="150">
        <f>I152+I159</f>
        <v>0</v>
      </c>
      <c r="J160" s="147">
        <f>J152+J154+J159</f>
        <v>0</v>
      </c>
      <c r="K160" s="239">
        <f>K152+K154+K156+K158</f>
        <v>539688.347107438</v>
      </c>
      <c r="L160" s="240">
        <f>L152+L154+L156+L158</f>
        <v>1416866.8998654622</v>
      </c>
      <c r="M160" s="241">
        <f>M152+M154+M156+M158</f>
        <v>922612.1083990007</v>
      </c>
      <c r="N160" s="278">
        <f>N152+N154+O152+O154+P152+P154</f>
        <v>3847562.859504132</v>
      </c>
      <c r="O160" s="278"/>
      <c r="P160" s="278"/>
      <c r="Q160" s="151">
        <f t="shared" si="17"/>
        <v>6726730.214876033</v>
      </c>
    </row>
    <row r="161" spans="7:17" s="59" customFormat="1" ht="72">
      <c r="G161" s="79" t="s">
        <v>22</v>
      </c>
      <c r="H161" s="153" t="s">
        <v>64</v>
      </c>
      <c r="I161" s="91" t="s">
        <v>63</v>
      </c>
      <c r="J161" s="92" t="s">
        <v>64</v>
      </c>
      <c r="K161" s="153" t="s">
        <v>20</v>
      </c>
      <c r="L161" s="91" t="s">
        <v>21</v>
      </c>
      <c r="M161" s="92" t="s">
        <v>21</v>
      </c>
      <c r="N161" s="97"/>
      <c r="O161" s="98"/>
      <c r="P161" s="99"/>
      <c r="Q161" s="82"/>
    </row>
    <row r="162" spans="7:17" s="59" customFormat="1" ht="15">
      <c r="G162" s="79" t="s">
        <v>68</v>
      </c>
      <c r="H162" s="93"/>
      <c r="I162" s="94"/>
      <c r="J162" s="95"/>
      <c r="K162" s="93">
        <f>1800000+480000</f>
        <v>2280000</v>
      </c>
      <c r="L162" s="94">
        <f>7800</f>
        <v>7800</v>
      </c>
      <c r="M162" s="95">
        <f>18000</f>
        <v>18000</v>
      </c>
      <c r="N162" s="100"/>
      <c r="O162" s="98"/>
      <c r="P162" s="99"/>
      <c r="Q162" s="82"/>
    </row>
    <row r="163" spans="7:17" ht="15.75" customHeight="1" thickBot="1">
      <c r="G163" s="72" t="s">
        <v>100</v>
      </c>
      <c r="H163" s="101"/>
      <c r="I163" s="102"/>
      <c r="J163" s="103"/>
      <c r="K163" s="242"/>
      <c r="L163" s="243"/>
      <c r="M163" s="244"/>
      <c r="N163" s="101"/>
      <c r="O163" s="102"/>
      <c r="P163" s="104"/>
      <c r="Q163" s="72"/>
    </row>
    <row r="164" spans="7:17" s="212" customFormat="1" ht="15.75" customHeight="1" thickBot="1">
      <c r="G164" s="213"/>
      <c r="H164" s="214"/>
      <c r="I164" s="214"/>
      <c r="J164" s="214"/>
      <c r="K164" s="215"/>
      <c r="L164" s="215"/>
      <c r="M164" s="215"/>
      <c r="N164" s="214"/>
      <c r="O164" s="214"/>
      <c r="P164" s="214"/>
      <c r="Q164" s="213"/>
    </row>
    <row r="165" spans="7:17" ht="15.75" thickBot="1">
      <c r="G165" s="63"/>
      <c r="H165" s="275" t="s">
        <v>8</v>
      </c>
      <c r="I165" s="276"/>
      <c r="J165" s="277"/>
      <c r="K165" s="275" t="s">
        <v>9</v>
      </c>
      <c r="L165" s="276"/>
      <c r="M165" s="277"/>
      <c r="N165" s="275" t="s">
        <v>12</v>
      </c>
      <c r="O165" s="276"/>
      <c r="P165" s="277"/>
      <c r="Q165" s="64"/>
    </row>
    <row r="166" spans="7:17" ht="15.75" thickBot="1">
      <c r="G166" s="65" t="s">
        <v>59</v>
      </c>
      <c r="H166" s="66" t="s">
        <v>0</v>
      </c>
      <c r="I166" s="67" t="s">
        <v>1</v>
      </c>
      <c r="J166" s="68" t="s">
        <v>2</v>
      </c>
      <c r="K166" s="69" t="s">
        <v>3</v>
      </c>
      <c r="L166" s="70" t="s">
        <v>4</v>
      </c>
      <c r="M166" s="68" t="s">
        <v>5</v>
      </c>
      <c r="N166" s="66" t="s">
        <v>6</v>
      </c>
      <c r="O166" s="67" t="s">
        <v>10</v>
      </c>
      <c r="P166" s="71" t="s">
        <v>11</v>
      </c>
      <c r="Q166" s="72" t="s">
        <v>7</v>
      </c>
    </row>
    <row r="167" spans="7:17" ht="15">
      <c r="G167" s="73" t="s">
        <v>60</v>
      </c>
      <c r="H167" s="125">
        <v>160000</v>
      </c>
      <c r="I167" s="126">
        <v>50000</v>
      </c>
      <c r="J167" s="127">
        <v>100000</v>
      </c>
      <c r="K167" s="125">
        <v>300000</v>
      </c>
      <c r="L167" s="126">
        <v>40000</v>
      </c>
      <c r="M167" s="127">
        <v>40000</v>
      </c>
      <c r="N167" s="125">
        <v>1150000</v>
      </c>
      <c r="O167" s="128">
        <v>350000</v>
      </c>
      <c r="P167" s="126">
        <v>764000</v>
      </c>
      <c r="Q167" s="129">
        <f>SUM(H167:P167)</f>
        <v>2954000</v>
      </c>
    </row>
    <row r="168" spans="7:17" ht="15">
      <c r="G168" s="73" t="s">
        <v>61</v>
      </c>
      <c r="H168" s="125">
        <v>15200</v>
      </c>
      <c r="I168" s="126">
        <v>9000</v>
      </c>
      <c r="J168" s="127">
        <v>35500</v>
      </c>
      <c r="K168" s="125">
        <v>83490</v>
      </c>
      <c r="L168" s="126">
        <v>70400</v>
      </c>
      <c r="M168" s="127">
        <v>38000</v>
      </c>
      <c r="N168" s="125">
        <v>382500</v>
      </c>
      <c r="O168" s="126">
        <v>335000</v>
      </c>
      <c r="P168" s="130">
        <v>19286</v>
      </c>
      <c r="Q168" s="129">
        <f>SUM(H168:P168)</f>
        <v>988376</v>
      </c>
    </row>
    <row r="169" spans="7:17" ht="15">
      <c r="G169" s="73" t="s">
        <v>62</v>
      </c>
      <c r="H169" s="125">
        <v>3200</v>
      </c>
      <c r="I169" s="126">
        <v>1000</v>
      </c>
      <c r="J169" s="127">
        <v>33460</v>
      </c>
      <c r="K169" s="125">
        <v>150000</v>
      </c>
      <c r="L169" s="126">
        <v>1200000</v>
      </c>
      <c r="M169" s="127">
        <v>600000</v>
      </c>
      <c r="N169" s="125">
        <v>650000</v>
      </c>
      <c r="O169" s="126">
        <v>100000</v>
      </c>
      <c r="P169" s="130">
        <v>50000</v>
      </c>
      <c r="Q169" s="129">
        <f>SUM(H169:P169)</f>
        <v>2787660</v>
      </c>
    </row>
    <row r="170" spans="7:17" ht="15">
      <c r="G170" s="145" t="s">
        <v>13</v>
      </c>
      <c r="H170" s="146">
        <f>SUM(H167:H169)</f>
        <v>178400</v>
      </c>
      <c r="I170" s="146">
        <f aca="true" t="shared" si="18" ref="I170:Q170">SUM(I167:I169)</f>
        <v>60000</v>
      </c>
      <c r="J170" s="147">
        <f t="shared" si="18"/>
        <v>168960</v>
      </c>
      <c r="K170" s="146">
        <f t="shared" si="18"/>
        <v>533490</v>
      </c>
      <c r="L170" s="146">
        <f t="shared" si="18"/>
        <v>1310400</v>
      </c>
      <c r="M170" s="147">
        <f t="shared" si="18"/>
        <v>678000</v>
      </c>
      <c r="N170" s="146">
        <f t="shared" si="18"/>
        <v>2182500</v>
      </c>
      <c r="O170" s="146">
        <f t="shared" si="18"/>
        <v>785000</v>
      </c>
      <c r="P170" s="148">
        <f t="shared" si="18"/>
        <v>833286</v>
      </c>
      <c r="Q170" s="149">
        <f t="shared" si="18"/>
        <v>6730036</v>
      </c>
    </row>
    <row r="171" spans="7:17" s="78" customFormat="1" ht="14.25">
      <c r="G171" s="74" t="s">
        <v>15</v>
      </c>
      <c r="H171" s="75">
        <f>H167/($Q$13-$I$13)</f>
        <v>0.05509641873278237</v>
      </c>
      <c r="I171" s="75"/>
      <c r="J171" s="76">
        <f>J167/($Q$13-$I$13)</f>
        <v>0.03443526170798898</v>
      </c>
      <c r="K171" s="75">
        <f aca="true" t="shared" si="19" ref="K171:P171">K167/($Q$13-$I$13)</f>
        <v>0.10330578512396695</v>
      </c>
      <c r="L171" s="75">
        <f t="shared" si="19"/>
        <v>0.013774104683195593</v>
      </c>
      <c r="M171" s="76">
        <f t="shared" si="19"/>
        <v>0.013774104683195593</v>
      </c>
      <c r="N171" s="75">
        <f t="shared" si="19"/>
        <v>0.39600550964187325</v>
      </c>
      <c r="O171" s="75">
        <f t="shared" si="19"/>
        <v>0.12052341597796143</v>
      </c>
      <c r="P171" s="75">
        <f t="shared" si="19"/>
        <v>0.2630853994490358</v>
      </c>
      <c r="Q171" s="77">
        <f aca="true" t="shared" si="20" ref="Q171:Q176">SUM(H171:P171)</f>
        <v>1</v>
      </c>
    </row>
    <row r="172" spans="7:17" ht="15">
      <c r="G172" s="152" t="s">
        <v>14</v>
      </c>
      <c r="H172" s="131">
        <f>H171*$I$16</f>
        <v>3305.785123966942</v>
      </c>
      <c r="I172" s="131"/>
      <c r="J172" s="132">
        <f aca="true" t="shared" si="21" ref="J172:P172">J171*$I$16</f>
        <v>2066.115702479339</v>
      </c>
      <c r="K172" s="131">
        <f t="shared" si="21"/>
        <v>6198.347107438017</v>
      </c>
      <c r="L172" s="131">
        <f t="shared" si="21"/>
        <v>826.4462809917355</v>
      </c>
      <c r="M172" s="132">
        <f t="shared" si="21"/>
        <v>826.4462809917355</v>
      </c>
      <c r="N172" s="131">
        <f t="shared" si="21"/>
        <v>23760.330578512396</v>
      </c>
      <c r="O172" s="131">
        <f t="shared" si="21"/>
        <v>7231.4049586776855</v>
      </c>
      <c r="P172" s="131">
        <f t="shared" si="21"/>
        <v>15785.123966942148</v>
      </c>
      <c r="Q172" s="133">
        <f t="shared" si="20"/>
        <v>60000</v>
      </c>
    </row>
    <row r="173" spans="4:17" s="78" customFormat="1" ht="14.25">
      <c r="D173" s="87"/>
      <c r="G173" s="74" t="s">
        <v>16</v>
      </c>
      <c r="H173" s="83"/>
      <c r="I173" s="84"/>
      <c r="J173" s="85"/>
      <c r="K173" s="83"/>
      <c r="L173" s="229">
        <f>(6000+1800)/(18000+7800)</f>
        <v>0.3023255813953488</v>
      </c>
      <c r="M173" s="237">
        <f>(12000+6000)/(18000+7800)</f>
        <v>0.6976744186046512</v>
      </c>
      <c r="N173" s="83"/>
      <c r="O173" s="84"/>
      <c r="P173" s="86"/>
      <c r="Q173" s="77">
        <f t="shared" si="20"/>
        <v>1</v>
      </c>
    </row>
    <row r="174" spans="7:17" ht="15">
      <c r="G174" s="152" t="s">
        <v>17</v>
      </c>
      <c r="H174" s="80"/>
      <c r="I174" s="87"/>
      <c r="J174" s="81"/>
      <c r="K174" s="80"/>
      <c r="L174" s="230">
        <f>L173*($H$16+$H$18)</f>
        <v>53934.88372093023</v>
      </c>
      <c r="M174" s="238">
        <f>M173*($H$16+$H$18)</f>
        <v>124465.11627906977</v>
      </c>
      <c r="N174" s="131"/>
      <c r="O174" s="134"/>
      <c r="P174" s="137"/>
      <c r="Q174" s="133">
        <f t="shared" si="20"/>
        <v>178400</v>
      </c>
    </row>
    <row r="175" spans="7:17" s="78" customFormat="1" ht="15">
      <c r="G175" s="74" t="s">
        <v>18</v>
      </c>
      <c r="H175" s="83"/>
      <c r="I175" s="84"/>
      <c r="J175" s="85"/>
      <c r="K175" s="83"/>
      <c r="L175" s="229">
        <f>L173</f>
        <v>0.3023255813953488</v>
      </c>
      <c r="M175" s="237">
        <f>M173</f>
        <v>0.6976744186046512</v>
      </c>
      <c r="N175" s="83"/>
      <c r="O175" s="84"/>
      <c r="P175" s="86"/>
      <c r="Q175" s="90">
        <f t="shared" si="20"/>
        <v>1</v>
      </c>
    </row>
    <row r="176" spans="7:17" ht="15">
      <c r="G176" s="152" t="s">
        <v>19</v>
      </c>
      <c r="H176" s="131"/>
      <c r="I176" s="134"/>
      <c r="J176" s="132"/>
      <c r="K176" s="131"/>
      <c r="L176" s="216">
        <f>L175*(-$J$159)</f>
        <v>51705.569863540266</v>
      </c>
      <c r="M176" s="234">
        <f>M175*(-$J$159)</f>
        <v>119320.54583893908</v>
      </c>
      <c r="N176" s="131"/>
      <c r="O176" s="134"/>
      <c r="P176" s="137"/>
      <c r="Q176" s="133">
        <f t="shared" si="20"/>
        <v>171026.11570247935</v>
      </c>
    </row>
    <row r="177" spans="7:17" ht="15">
      <c r="G177" s="79"/>
      <c r="H177" s="210">
        <f>(H170+H172)*-1</f>
        <v>-181705.78512396695</v>
      </c>
      <c r="I177" s="216">
        <f>-I170</f>
        <v>-60000</v>
      </c>
      <c r="J177" s="234">
        <f>-(J170+J172)</f>
        <v>-171026.11570247935</v>
      </c>
      <c r="K177" s="131"/>
      <c r="L177" s="134"/>
      <c r="M177" s="132"/>
      <c r="N177" s="134"/>
      <c r="O177" s="136"/>
      <c r="P177" s="134"/>
      <c r="Q177" s="133"/>
    </row>
    <row r="178" spans="7:17" s="59" customFormat="1" ht="15">
      <c r="G178" s="145" t="s">
        <v>67</v>
      </c>
      <c r="H178" s="148">
        <f>H170+H172+H177</f>
        <v>0</v>
      </c>
      <c r="I178" s="150">
        <f>I170+I177</f>
        <v>0</v>
      </c>
      <c r="J178" s="147">
        <f>J170+J172+J177</f>
        <v>0</v>
      </c>
      <c r="K178" s="239">
        <f>K170+K172+K174+K176</f>
        <v>539688.347107438</v>
      </c>
      <c r="L178" s="240">
        <f>L170+L172+L174+L176</f>
        <v>1416866.8998654622</v>
      </c>
      <c r="M178" s="241">
        <f>M170+M172+M174+M176</f>
        <v>922612.1083990007</v>
      </c>
      <c r="N178" s="278">
        <f>N170+N172+O170+O172+P170+P172</f>
        <v>3847562.859504132</v>
      </c>
      <c r="O178" s="278"/>
      <c r="P178" s="278"/>
      <c r="Q178" s="151">
        <f>SUM(H178:P178)</f>
        <v>6726730.214876033</v>
      </c>
    </row>
    <row r="179" spans="7:17" s="59" customFormat="1" ht="72">
      <c r="G179" s="79" t="s">
        <v>22</v>
      </c>
      <c r="H179" s="153" t="s">
        <v>64</v>
      </c>
      <c r="I179" s="91" t="s">
        <v>63</v>
      </c>
      <c r="J179" s="92" t="s">
        <v>64</v>
      </c>
      <c r="K179" s="153" t="s">
        <v>20</v>
      </c>
      <c r="L179" s="91" t="s">
        <v>21</v>
      </c>
      <c r="M179" s="92" t="s">
        <v>21</v>
      </c>
      <c r="N179" s="97"/>
      <c r="O179" s="98"/>
      <c r="P179" s="99"/>
      <c r="Q179" s="82"/>
    </row>
    <row r="180" spans="7:17" s="59" customFormat="1" ht="15">
      <c r="G180" s="79" t="s">
        <v>68</v>
      </c>
      <c r="H180" s="93"/>
      <c r="I180" s="94"/>
      <c r="J180" s="95"/>
      <c r="K180" s="93">
        <f>1800000+480000</f>
        <v>2280000</v>
      </c>
      <c r="L180" s="94">
        <f>7800</f>
        <v>7800</v>
      </c>
      <c r="M180" s="95">
        <f>18000</f>
        <v>18000</v>
      </c>
      <c r="N180" s="100"/>
      <c r="O180" s="98"/>
      <c r="P180" s="99"/>
      <c r="Q180" s="82"/>
    </row>
    <row r="181" spans="7:17" ht="15.75" customHeight="1" thickBot="1">
      <c r="G181" s="72" t="s">
        <v>100</v>
      </c>
      <c r="H181" s="101"/>
      <c r="I181" s="102"/>
      <c r="J181" s="103"/>
      <c r="K181" s="245">
        <f>K178/K180</f>
        <v>0.23670541539799914</v>
      </c>
      <c r="L181" s="245">
        <f>L178/L180</f>
        <v>181.64960254685414</v>
      </c>
      <c r="M181" s="245">
        <f>M178/M180</f>
        <v>51.25622824438893</v>
      </c>
      <c r="N181" s="101"/>
      <c r="O181" s="102"/>
      <c r="P181" s="104"/>
      <c r="Q181" s="72"/>
    </row>
    <row r="182" spans="7:16" ht="25.5" customHeight="1">
      <c r="G182" s="105"/>
      <c r="H182" s="105"/>
      <c r="I182" s="105"/>
      <c r="J182" s="62"/>
      <c r="K182" s="62"/>
      <c r="L182" s="62"/>
      <c r="M182" s="62"/>
      <c r="N182" s="62"/>
      <c r="O182" s="62"/>
      <c r="P182" s="62"/>
    </row>
    <row r="183" spans="7:16" ht="25.5" customHeight="1">
      <c r="G183" s="105"/>
      <c r="H183" s="105"/>
      <c r="I183" s="105"/>
      <c r="J183" s="62"/>
      <c r="K183" s="62"/>
      <c r="L183" s="62"/>
      <c r="M183" s="62"/>
      <c r="N183" s="62"/>
      <c r="O183" s="62"/>
      <c r="P183" s="62"/>
    </row>
    <row r="184" spans="7:16" ht="25.5" customHeight="1">
      <c r="G184" s="105"/>
      <c r="H184" s="105"/>
      <c r="I184" s="105"/>
      <c r="J184" s="62"/>
      <c r="K184" s="62"/>
      <c r="L184" s="62"/>
      <c r="M184" s="62"/>
      <c r="N184" s="62"/>
      <c r="O184" s="62"/>
      <c r="P184" s="62"/>
    </row>
    <row r="185" spans="7:16" ht="25.5" customHeight="1">
      <c r="G185" s="105"/>
      <c r="H185" s="105"/>
      <c r="I185" s="105"/>
      <c r="J185" s="62"/>
      <c r="K185" s="62"/>
      <c r="L185" s="62"/>
      <c r="M185" s="62"/>
      <c r="N185" s="62"/>
      <c r="O185" s="62"/>
      <c r="P185" s="62"/>
    </row>
    <row r="186" spans="7:16" ht="25.5" customHeight="1">
      <c r="G186" s="105"/>
      <c r="H186" s="105"/>
      <c r="I186" s="105"/>
      <c r="J186" s="62"/>
      <c r="K186" s="62"/>
      <c r="L186" s="62"/>
      <c r="M186" s="62"/>
      <c r="N186" s="62"/>
      <c r="O186" s="62"/>
      <c r="P186" s="62"/>
    </row>
    <row r="187" spans="7:16" ht="25.5" customHeight="1">
      <c r="G187" s="105"/>
      <c r="H187" s="105"/>
      <c r="I187" s="105"/>
      <c r="J187" s="62"/>
      <c r="K187" s="62"/>
      <c r="L187" s="62"/>
      <c r="M187" s="62"/>
      <c r="N187" s="62"/>
      <c r="O187" s="62"/>
      <c r="P187" s="62"/>
    </row>
    <row r="188" spans="7:16" ht="25.5" customHeight="1" thickBot="1">
      <c r="G188" s="247" t="s">
        <v>69</v>
      </c>
      <c r="H188" s="247"/>
      <c r="I188" s="105"/>
      <c r="J188" s="62"/>
      <c r="K188" s="62"/>
      <c r="L188" s="62"/>
      <c r="M188" s="62"/>
      <c r="N188" s="62"/>
      <c r="O188" s="62"/>
      <c r="P188" s="62"/>
    </row>
    <row r="189" spans="7:13" s="59" customFormat="1" ht="15">
      <c r="G189" s="106"/>
      <c r="H189" s="279" t="s">
        <v>23</v>
      </c>
      <c r="I189" s="280"/>
      <c r="J189" s="281"/>
      <c r="K189" s="279" t="s">
        <v>24</v>
      </c>
      <c r="L189" s="280"/>
      <c r="M189" s="281"/>
    </row>
    <row r="190" spans="7:17" s="112" customFormat="1" ht="15.75" thickBot="1">
      <c r="G190" s="107"/>
      <c r="H190" s="108" t="s">
        <v>25</v>
      </c>
      <c r="I190" s="109" t="s">
        <v>26</v>
      </c>
      <c r="J190" s="110" t="s">
        <v>7</v>
      </c>
      <c r="K190" s="111" t="s">
        <v>25</v>
      </c>
      <c r="L190" s="109" t="s">
        <v>26</v>
      </c>
      <c r="M190" s="110" t="s">
        <v>7</v>
      </c>
      <c r="Q190" s="113"/>
    </row>
    <row r="191" spans="7:13" ht="33.75" customHeight="1">
      <c r="G191" s="96" t="s">
        <v>27</v>
      </c>
      <c r="H191" s="135"/>
      <c r="I191" s="136"/>
      <c r="J191" s="138"/>
      <c r="K191" s="134"/>
      <c r="L191" s="136"/>
      <c r="M191" s="138"/>
    </row>
    <row r="192" spans="7:13" ht="30" thickBot="1">
      <c r="G192" s="96" t="s">
        <v>28</v>
      </c>
      <c r="H192" s="135"/>
      <c r="I192" s="246">
        <f>K242</f>
        <v>0</v>
      </c>
      <c r="J192" s="138"/>
      <c r="K192" s="134"/>
      <c r="L192" s="114">
        <f>K242</f>
        <v>0</v>
      </c>
      <c r="M192" s="138"/>
    </row>
    <row r="193" spans="7:13" s="59" customFormat="1" ht="30.75" thickBot="1">
      <c r="G193" s="157" t="s">
        <v>29</v>
      </c>
      <c r="H193" s="158"/>
      <c r="I193" s="159"/>
      <c r="J193" s="160"/>
      <c r="K193" s="161"/>
      <c r="L193" s="162"/>
      <c r="M193" s="160"/>
    </row>
    <row r="194" spans="7:13" ht="29.25">
      <c r="G194" s="96" t="s">
        <v>30</v>
      </c>
      <c r="H194" s="135"/>
      <c r="I194" s="89"/>
      <c r="J194" s="138"/>
      <c r="K194" s="134"/>
      <c r="L194" s="89"/>
      <c r="M194" s="138"/>
    </row>
    <row r="195" spans="7:13" ht="30" thickBot="1">
      <c r="G195" s="96" t="s">
        <v>31</v>
      </c>
      <c r="H195" s="135"/>
      <c r="I195" s="246">
        <f>L242</f>
        <v>0</v>
      </c>
      <c r="J195" s="138"/>
      <c r="K195" s="134"/>
      <c r="L195" s="114">
        <f>L242</f>
        <v>0</v>
      </c>
      <c r="M195" s="138"/>
    </row>
    <row r="196" spans="7:13" s="59" customFormat="1" ht="30.75" thickBot="1">
      <c r="G196" s="157" t="s">
        <v>32</v>
      </c>
      <c r="H196" s="158"/>
      <c r="I196" s="159"/>
      <c r="J196" s="160"/>
      <c r="K196" s="161"/>
      <c r="L196" s="162"/>
      <c r="M196" s="160"/>
    </row>
    <row r="197" spans="7:13" ht="29.25">
      <c r="G197" s="96" t="s">
        <v>33</v>
      </c>
      <c r="H197" s="135"/>
      <c r="I197" s="89"/>
      <c r="J197" s="138"/>
      <c r="K197" s="134"/>
      <c r="L197" s="89"/>
      <c r="M197" s="138"/>
    </row>
    <row r="198" spans="7:13" ht="30" thickBot="1">
      <c r="G198" s="96" t="s">
        <v>34</v>
      </c>
      <c r="H198" s="135"/>
      <c r="I198" s="246">
        <f>M242</f>
        <v>0</v>
      </c>
      <c r="J198" s="138"/>
      <c r="K198" s="134"/>
      <c r="L198" s="114">
        <f>M242</f>
        <v>0</v>
      </c>
      <c r="M198" s="138"/>
    </row>
    <row r="199" spans="7:16" ht="30.75" thickBot="1">
      <c r="G199" s="157" t="s">
        <v>35</v>
      </c>
      <c r="H199" s="163"/>
      <c r="I199" s="162"/>
      <c r="J199" s="160"/>
      <c r="K199" s="161"/>
      <c r="L199" s="162"/>
      <c r="M199" s="160"/>
      <c r="N199" s="59"/>
      <c r="O199" s="59"/>
      <c r="P199" s="59"/>
    </row>
    <row r="200" spans="7:13" ht="15">
      <c r="G200" s="120" t="s">
        <v>36</v>
      </c>
      <c r="H200" s="139"/>
      <c r="I200" s="140"/>
      <c r="J200" s="141"/>
      <c r="K200" s="142"/>
      <c r="L200" s="143"/>
      <c r="M200" s="141"/>
    </row>
    <row r="201" spans="7:13" ht="30.75" customHeight="1">
      <c r="G201" s="121" t="s">
        <v>70</v>
      </c>
      <c r="H201" s="88"/>
      <c r="I201" s="89"/>
      <c r="J201" s="122"/>
      <c r="K201" s="123"/>
      <c r="L201" s="124"/>
      <c r="M201" s="122"/>
    </row>
    <row r="202" spans="7:13" ht="30" thickBot="1">
      <c r="G202" s="96" t="s">
        <v>38</v>
      </c>
      <c r="H202" s="88"/>
      <c r="I202" s="89"/>
      <c r="J202" s="138"/>
      <c r="K202" s="134"/>
      <c r="L202" s="144"/>
      <c r="M202" s="138"/>
    </row>
    <row r="203" spans="1:13" s="59" customFormat="1" ht="15.75" thickBot="1">
      <c r="A203" s="58"/>
      <c r="B203" s="58"/>
      <c r="C203" s="58"/>
      <c r="D203" s="58"/>
      <c r="E203" s="58"/>
      <c r="F203" s="58"/>
      <c r="G203" s="158" t="s">
        <v>37</v>
      </c>
      <c r="H203" s="158"/>
      <c r="I203" s="159"/>
      <c r="J203" s="160"/>
      <c r="K203" s="161"/>
      <c r="L203" s="162"/>
      <c r="M203" s="160"/>
    </row>
    <row r="204" spans="1:13" s="59" customFormat="1" ht="30.75" thickBot="1">
      <c r="A204" s="58"/>
      <c r="B204" s="58"/>
      <c r="C204" s="58"/>
      <c r="D204" s="58"/>
      <c r="E204" s="58"/>
      <c r="F204" s="58"/>
      <c r="G204" s="115" t="s">
        <v>39</v>
      </c>
      <c r="H204" s="116"/>
      <c r="I204" s="117"/>
      <c r="J204" s="118"/>
      <c r="K204" s="119"/>
      <c r="L204" s="117"/>
      <c r="M204" s="118"/>
    </row>
    <row r="205" spans="1:16" s="59" customFormat="1" ht="15.75" thickBot="1">
      <c r="A205" s="58"/>
      <c r="B205" s="58"/>
      <c r="C205" s="58"/>
      <c r="D205" s="58"/>
      <c r="E205" s="58"/>
      <c r="F205" s="58"/>
      <c r="G205" s="164" t="s">
        <v>40</v>
      </c>
      <c r="H205" s="164"/>
      <c r="I205" s="165"/>
      <c r="J205" s="166"/>
      <c r="K205" s="167"/>
      <c r="L205" s="165"/>
      <c r="M205" s="166"/>
      <c r="N205" s="58"/>
      <c r="O205" s="58"/>
      <c r="P205" s="58"/>
    </row>
    <row r="206" spans="1:13" s="59" customFormat="1" ht="15.75" thickBot="1">
      <c r="A206" s="58"/>
      <c r="B206" s="58"/>
      <c r="C206" s="58"/>
      <c r="D206" s="58"/>
      <c r="E206" s="58"/>
      <c r="F206" s="58"/>
      <c r="G206" s="158" t="s">
        <v>41</v>
      </c>
      <c r="H206" s="158"/>
      <c r="I206" s="159"/>
      <c r="J206" s="168"/>
      <c r="K206" s="169"/>
      <c r="L206" s="159"/>
      <c r="M206" s="168"/>
    </row>
    <row r="220" spans="11:13" ht="15.75" thickBot="1">
      <c r="K220" s="87"/>
      <c r="L220" s="87"/>
      <c r="M220" s="87"/>
    </row>
    <row r="221" spans="7:13" s="59" customFormat="1" ht="15">
      <c r="G221" s="106"/>
      <c r="H221" s="279" t="s">
        <v>23</v>
      </c>
      <c r="I221" s="280"/>
      <c r="J221" s="281"/>
      <c r="K221" s="279" t="s">
        <v>24</v>
      </c>
      <c r="L221" s="280"/>
      <c r="M221" s="281"/>
    </row>
    <row r="222" spans="7:17" s="112" customFormat="1" ht="15.75" thickBot="1">
      <c r="G222" s="107"/>
      <c r="H222" s="108" t="s">
        <v>25</v>
      </c>
      <c r="I222" s="109" t="s">
        <v>26</v>
      </c>
      <c r="J222" s="110" t="s">
        <v>7</v>
      </c>
      <c r="K222" s="111" t="s">
        <v>25</v>
      </c>
      <c r="L222" s="109" t="s">
        <v>26</v>
      </c>
      <c r="M222" s="110" t="s">
        <v>7</v>
      </c>
      <c r="Q222" s="113"/>
    </row>
    <row r="223" spans="7:13" ht="33.75" customHeight="1">
      <c r="G223" s="96" t="s">
        <v>27</v>
      </c>
      <c r="H223" s="135">
        <f>30000+60000</f>
        <v>90000</v>
      </c>
      <c r="I223" s="136"/>
      <c r="J223" s="138">
        <v>1800000</v>
      </c>
      <c r="K223" s="134">
        <f>6000+6000+6000+6000+12000+24000+6000</f>
        <v>66000</v>
      </c>
      <c r="L223" s="136"/>
      <c r="M223" s="138">
        <v>480000</v>
      </c>
    </row>
    <row r="224" spans="7:13" ht="30" thickBot="1">
      <c r="G224" s="96" t="s">
        <v>28</v>
      </c>
      <c r="H224" s="135">
        <f>J223</f>
        <v>1800000</v>
      </c>
      <c r="I224" s="246">
        <f>K181</f>
        <v>0.23670541539799914</v>
      </c>
      <c r="J224" s="138">
        <f>H224*I224</f>
        <v>426069.74771639844</v>
      </c>
      <c r="K224" s="134">
        <f>M223</f>
        <v>480000</v>
      </c>
      <c r="L224" s="114">
        <f>K181</f>
        <v>0.23670541539799914</v>
      </c>
      <c r="M224" s="138">
        <f>K224*L224</f>
        <v>113618.59939103959</v>
      </c>
    </row>
    <row r="225" spans="7:13" s="59" customFormat="1" ht="30.75" thickBot="1">
      <c r="G225" s="157" t="s">
        <v>29</v>
      </c>
      <c r="H225" s="158"/>
      <c r="I225" s="159"/>
      <c r="J225" s="160">
        <f>SUM(J223:J224)</f>
        <v>2226069.7477163984</v>
      </c>
      <c r="K225" s="161"/>
      <c r="L225" s="162"/>
      <c r="M225" s="160">
        <f>SUM(M223:M224)</f>
        <v>593618.5993910396</v>
      </c>
    </row>
    <row r="226" spans="7:13" ht="29.25">
      <c r="G226" s="96" t="s">
        <v>30</v>
      </c>
      <c r="H226" s="135">
        <v>6000</v>
      </c>
      <c r="I226" s="89"/>
      <c r="J226" s="138">
        <v>720000</v>
      </c>
      <c r="K226" s="134">
        <v>1800</v>
      </c>
      <c r="L226" s="89"/>
      <c r="M226" s="138">
        <v>216000</v>
      </c>
    </row>
    <row r="227" spans="7:13" ht="30" thickBot="1">
      <c r="G227" s="96" t="s">
        <v>31</v>
      </c>
      <c r="H227" s="135">
        <f>H226</f>
        <v>6000</v>
      </c>
      <c r="I227" s="246">
        <f>L181</f>
        <v>181.64960254685414</v>
      </c>
      <c r="J227" s="138">
        <f>H227*I227</f>
        <v>1089897.6152811248</v>
      </c>
      <c r="K227" s="134">
        <f>K226</f>
        <v>1800</v>
      </c>
      <c r="L227" s="114">
        <f>L181</f>
        <v>181.64960254685414</v>
      </c>
      <c r="M227" s="138">
        <f>K227*L227</f>
        <v>326969.28458433744</v>
      </c>
    </row>
    <row r="228" spans="7:13" s="59" customFormat="1" ht="30.75" thickBot="1">
      <c r="G228" s="157" t="s">
        <v>32</v>
      </c>
      <c r="H228" s="158"/>
      <c r="I228" s="159"/>
      <c r="J228" s="160">
        <f>SUM(J226:J227)</f>
        <v>1809897.6152811248</v>
      </c>
      <c r="K228" s="161"/>
      <c r="L228" s="162"/>
      <c r="M228" s="160">
        <f>SUM(M226:M227)</f>
        <v>542969.2845843374</v>
      </c>
    </row>
    <row r="229" spans="7:13" ht="29.25">
      <c r="G229" s="96" t="s">
        <v>33</v>
      </c>
      <c r="H229" s="135">
        <v>12000</v>
      </c>
      <c r="I229" s="89"/>
      <c r="J229" s="138">
        <v>1440000</v>
      </c>
      <c r="K229" s="134">
        <v>6000</v>
      </c>
      <c r="L229" s="89"/>
      <c r="M229" s="138">
        <v>720000</v>
      </c>
    </row>
    <row r="230" spans="7:13" ht="30" thickBot="1">
      <c r="G230" s="96" t="s">
        <v>34</v>
      </c>
      <c r="H230" s="135">
        <f>H229</f>
        <v>12000</v>
      </c>
      <c r="I230" s="246">
        <f>M181</f>
        <v>51.25622824438893</v>
      </c>
      <c r="J230" s="138">
        <f>H230*I230</f>
        <v>615074.7389326672</v>
      </c>
      <c r="K230" s="134">
        <f>K229</f>
        <v>6000</v>
      </c>
      <c r="L230" s="114">
        <f>M181</f>
        <v>51.25622824438893</v>
      </c>
      <c r="M230" s="138">
        <f>K230*L230</f>
        <v>307537.3694663336</v>
      </c>
    </row>
    <row r="231" spans="7:16" ht="30.75" thickBot="1">
      <c r="G231" s="157" t="s">
        <v>35</v>
      </c>
      <c r="H231" s="163"/>
      <c r="I231" s="162"/>
      <c r="J231" s="160">
        <f>SUM(J229:J230)</f>
        <v>2055074.7389326673</v>
      </c>
      <c r="K231" s="161"/>
      <c r="L231" s="162"/>
      <c r="M231" s="160">
        <f>SUM(M229:M230)</f>
        <v>1027537.3694663337</v>
      </c>
      <c r="N231" s="59"/>
      <c r="O231" s="59"/>
      <c r="P231" s="59"/>
    </row>
    <row r="232" spans="7:13" ht="15">
      <c r="G232" s="120" t="s">
        <v>36</v>
      </c>
      <c r="H232" s="139"/>
      <c r="I232" s="140"/>
      <c r="J232" s="141">
        <f>J228+J231+J225</f>
        <v>6091042.10193019</v>
      </c>
      <c r="K232" s="142"/>
      <c r="L232" s="143"/>
      <c r="M232" s="141">
        <f>M231+M228+M225</f>
        <v>2164125.2534417105</v>
      </c>
    </row>
    <row r="233" spans="7:13" ht="30.75" customHeight="1">
      <c r="G233" s="121" t="s">
        <v>70</v>
      </c>
      <c r="H233" s="88"/>
      <c r="I233" s="89"/>
      <c r="J233" s="122">
        <f>J232/($J$232+$M$232)</f>
        <v>0.7378459866069893</v>
      </c>
      <c r="K233" s="123"/>
      <c r="L233" s="124"/>
      <c r="M233" s="122">
        <f>M232/($J$232+$M$232)</f>
        <v>0.2621540133930108</v>
      </c>
    </row>
    <row r="234" spans="7:13" ht="30" thickBot="1">
      <c r="G234" s="96" t="s">
        <v>38</v>
      </c>
      <c r="H234" s="88"/>
      <c r="I234" s="89"/>
      <c r="J234" s="138">
        <f>$N$24*J233</f>
        <v>2804394.6960520325</v>
      </c>
      <c r="K234" s="134"/>
      <c r="L234" s="144"/>
      <c r="M234" s="138">
        <f>$N$24*M233</f>
        <v>996391.303947968</v>
      </c>
    </row>
    <row r="235" spans="1:13" s="59" customFormat="1" ht="15.75" thickBot="1">
      <c r="A235" s="58"/>
      <c r="B235" s="58"/>
      <c r="C235" s="58"/>
      <c r="D235" s="58"/>
      <c r="E235" s="58"/>
      <c r="F235" s="58"/>
      <c r="G235" s="158" t="s">
        <v>37</v>
      </c>
      <c r="H235" s="158"/>
      <c r="I235" s="159"/>
      <c r="J235" s="160">
        <f>J234+J232</f>
        <v>8895436.797982223</v>
      </c>
      <c r="K235" s="161"/>
      <c r="L235" s="162"/>
      <c r="M235" s="160">
        <f>M234+M232</f>
        <v>3160516.5573896784</v>
      </c>
    </row>
    <row r="236" spans="1:13" s="59" customFormat="1" ht="30.75" thickBot="1">
      <c r="A236" s="58"/>
      <c r="B236" s="58"/>
      <c r="C236" s="58"/>
      <c r="D236" s="58"/>
      <c r="E236" s="58"/>
      <c r="F236" s="58"/>
      <c r="G236" s="115" t="s">
        <v>39</v>
      </c>
      <c r="H236" s="116"/>
      <c r="I236" s="117"/>
      <c r="J236" s="118">
        <f>J235/30000</f>
        <v>296.5145599327408</v>
      </c>
      <c r="K236" s="119"/>
      <c r="L236" s="117"/>
      <c r="M236" s="118">
        <f>M235/6000</f>
        <v>526.7527595649464</v>
      </c>
    </row>
    <row r="237" spans="1:16" s="59" customFormat="1" ht="15.75" thickBot="1">
      <c r="A237" s="58"/>
      <c r="B237" s="58"/>
      <c r="C237" s="58"/>
      <c r="D237" s="58"/>
      <c r="E237" s="58"/>
      <c r="F237" s="58"/>
      <c r="G237" s="164" t="s">
        <v>40</v>
      </c>
      <c r="H237" s="164"/>
      <c r="I237" s="165"/>
      <c r="J237" s="166">
        <v>270</v>
      </c>
      <c r="K237" s="167"/>
      <c r="L237" s="165"/>
      <c r="M237" s="166">
        <v>620</v>
      </c>
      <c r="N237" s="58"/>
      <c r="O237" s="58"/>
      <c r="P237" s="58"/>
    </row>
    <row r="238" spans="1:13" s="59" customFormat="1" ht="15.75" thickBot="1">
      <c r="A238" s="58"/>
      <c r="B238" s="58"/>
      <c r="C238" s="58"/>
      <c r="D238" s="58"/>
      <c r="E238" s="58"/>
      <c r="F238" s="58"/>
      <c r="G238" s="158" t="s">
        <v>41</v>
      </c>
      <c r="H238" s="158"/>
      <c r="I238" s="159"/>
      <c r="J238" s="168">
        <f>J237-J236</f>
        <v>-26.51455993274078</v>
      </c>
      <c r="K238" s="169"/>
      <c r="L238" s="159"/>
      <c r="M238" s="168">
        <f>M237-M236</f>
        <v>93.24724043505364</v>
      </c>
    </row>
    <row r="240" spans="1:16" s="59" customFormat="1" ht="15">
      <c r="A240" s="58"/>
      <c r="B240" s="58"/>
      <c r="C240" s="58"/>
      <c r="D240" s="58"/>
      <c r="E240" s="58"/>
      <c r="F240" s="58"/>
      <c r="G240" s="274" t="s">
        <v>97</v>
      </c>
      <c r="H240" s="274"/>
      <c r="I240" s="274"/>
      <c r="J240" s="274"/>
      <c r="K240" s="274"/>
      <c r="L240" s="274"/>
      <c r="M240" s="274"/>
      <c r="N240" s="274"/>
      <c r="O240" s="274"/>
      <c r="P240" s="274"/>
    </row>
    <row r="241" spans="1:16" s="59" customFormat="1" ht="15">
      <c r="A241" s="58"/>
      <c r="B241" s="58"/>
      <c r="C241" s="58"/>
      <c r="D241" s="58"/>
      <c r="E241" s="58"/>
      <c r="F241" s="58"/>
      <c r="G241" s="274"/>
      <c r="H241" s="274"/>
      <c r="I241" s="274"/>
      <c r="J241" s="274"/>
      <c r="K241" s="274"/>
      <c r="L241" s="274"/>
      <c r="M241" s="274"/>
      <c r="N241" s="274"/>
      <c r="O241" s="274"/>
      <c r="P241" s="274"/>
    </row>
    <row r="244" spans="11:13" ht="15">
      <c r="K244" s="87"/>
      <c r="L244" s="87"/>
      <c r="M244" s="87"/>
    </row>
  </sheetData>
  <sheetProtection/>
  <mergeCells count="46">
    <mergeCell ref="N160:P160"/>
    <mergeCell ref="H165:J165"/>
    <mergeCell ref="K165:M165"/>
    <mergeCell ref="N165:P165"/>
    <mergeCell ref="N178:P178"/>
    <mergeCell ref="H189:J189"/>
    <mergeCell ref="K189:M189"/>
    <mergeCell ref="H123:J123"/>
    <mergeCell ref="K123:M123"/>
    <mergeCell ref="N123:P123"/>
    <mergeCell ref="N136:P136"/>
    <mergeCell ref="H147:J147"/>
    <mergeCell ref="K147:M147"/>
    <mergeCell ref="N147:P147"/>
    <mergeCell ref="N112:P112"/>
    <mergeCell ref="G86:N86"/>
    <mergeCell ref="H88:N88"/>
    <mergeCell ref="H89:N89"/>
    <mergeCell ref="H91:N91"/>
    <mergeCell ref="H93:N93"/>
    <mergeCell ref="G241:P241"/>
    <mergeCell ref="H37:J37"/>
    <mergeCell ref="K37:M37"/>
    <mergeCell ref="N37:P37"/>
    <mergeCell ref="N50:P50"/>
    <mergeCell ref="H33:I33"/>
    <mergeCell ref="H34:I34"/>
    <mergeCell ref="H64:J64"/>
    <mergeCell ref="K64:M64"/>
    <mergeCell ref="N64:P64"/>
    <mergeCell ref="G29:P29"/>
    <mergeCell ref="G30:P30"/>
    <mergeCell ref="G31:P31"/>
    <mergeCell ref="H221:J221"/>
    <mergeCell ref="K221:M221"/>
    <mergeCell ref="G240:P240"/>
    <mergeCell ref="N77:P77"/>
    <mergeCell ref="H99:J99"/>
    <mergeCell ref="K99:M99"/>
    <mergeCell ref="N99:P99"/>
    <mergeCell ref="G1:Q1"/>
    <mergeCell ref="G9:P9"/>
    <mergeCell ref="H11:J11"/>
    <mergeCell ref="K11:M11"/>
    <mergeCell ref="N11:P11"/>
    <mergeCell ref="N24:P24"/>
  </mergeCells>
  <printOptions/>
  <pageMargins left="0" right="0" top="0" bottom="0" header="0" footer="0"/>
  <pageSetup fitToHeight="1" fitToWidth="1" horizontalDpi="360" verticalDpi="36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P53"/>
  <sheetViews>
    <sheetView showGridLines="0" tabSelected="1" view="pageBreakPreview" zoomScale="60" zoomScaleNormal="75" zoomScalePageLayoutView="0" workbookViewId="0" topLeftCell="E1">
      <selection activeCell="M32" sqref="M32"/>
    </sheetView>
  </sheetViews>
  <sheetFormatPr defaultColWidth="11.421875" defaultRowHeight="12.75"/>
  <cols>
    <col min="1" max="5" width="11.421875" style="58" customWidth="1"/>
    <col min="6" max="6" width="28.7109375" style="58" customWidth="1"/>
    <col min="7" max="7" width="15.7109375" style="58" customWidth="1"/>
    <col min="8" max="8" width="17.7109375" style="58" customWidth="1"/>
    <col min="9" max="9" width="17.00390625" style="58" bestFit="1" customWidth="1"/>
    <col min="10" max="10" width="16.421875" style="58" customWidth="1"/>
    <col min="11" max="11" width="14.7109375" style="58" bestFit="1" customWidth="1"/>
    <col min="12" max="12" width="16.57421875" style="58" bestFit="1" customWidth="1"/>
    <col min="13" max="13" width="14.57421875" style="58" bestFit="1" customWidth="1"/>
    <col min="14" max="14" width="12.7109375" style="58" bestFit="1" customWidth="1"/>
    <col min="15" max="15" width="16.00390625" style="58" customWidth="1"/>
    <col min="16" max="16" width="14.57421875" style="59" bestFit="1" customWidth="1"/>
    <col min="17" max="17" width="5.7109375" style="58" customWidth="1"/>
    <col min="18" max="16384" width="11.421875" style="58" customWidth="1"/>
  </cols>
  <sheetData>
    <row r="1" spans="6:16" ht="26.25">
      <c r="F1" s="273" t="s">
        <v>52</v>
      </c>
      <c r="G1" s="273"/>
      <c r="H1" s="273"/>
      <c r="I1" s="273"/>
      <c r="J1" s="273"/>
      <c r="K1" s="273"/>
      <c r="L1" s="273"/>
      <c r="M1" s="273"/>
      <c r="N1" s="273"/>
      <c r="O1" s="273"/>
      <c r="P1" s="273"/>
    </row>
    <row r="3" spans="6:7" ht="15">
      <c r="F3" s="60" t="s">
        <v>53</v>
      </c>
      <c r="G3" s="58" t="s">
        <v>54</v>
      </c>
    </row>
    <row r="4" spans="6:7" ht="15">
      <c r="F4" s="60" t="s">
        <v>57</v>
      </c>
      <c r="G4" s="58" t="s">
        <v>55</v>
      </c>
    </row>
    <row r="5" spans="6:7" ht="15">
      <c r="F5" s="60" t="s">
        <v>57</v>
      </c>
      <c r="G5" s="58" t="s">
        <v>56</v>
      </c>
    </row>
    <row r="6" ht="15">
      <c r="F6" s="60"/>
    </row>
    <row r="7" spans="6:10" ht="20.25">
      <c r="F7" s="270" t="s">
        <v>114</v>
      </c>
      <c r="G7" s="271"/>
      <c r="H7" s="271"/>
      <c r="I7" s="271"/>
      <c r="J7" s="211"/>
    </row>
    <row r="8" ht="15">
      <c r="F8" s="60"/>
    </row>
    <row r="9" spans="6:15" ht="31.5" customHeight="1">
      <c r="F9" s="274" t="s">
        <v>98</v>
      </c>
      <c r="G9" s="274"/>
      <c r="H9" s="274"/>
      <c r="I9" s="274"/>
      <c r="J9" s="274"/>
      <c r="K9" s="274"/>
      <c r="L9" s="274"/>
      <c r="M9" s="274"/>
      <c r="N9" s="274"/>
      <c r="O9" s="274"/>
    </row>
    <row r="10" ht="15.75" thickBot="1"/>
    <row r="11" spans="6:16" ht="15.75" thickBot="1">
      <c r="F11" s="63"/>
      <c r="G11" s="275" t="s">
        <v>8</v>
      </c>
      <c r="H11" s="276"/>
      <c r="I11" s="277"/>
      <c r="J11" s="275" t="s">
        <v>9</v>
      </c>
      <c r="K11" s="276"/>
      <c r="L11" s="277"/>
      <c r="M11" s="275" t="s">
        <v>12</v>
      </c>
      <c r="N11" s="276"/>
      <c r="O11" s="277"/>
      <c r="P11" s="64"/>
    </row>
    <row r="12" spans="6:16" ht="15.75" thickBot="1">
      <c r="F12" s="65" t="s">
        <v>59</v>
      </c>
      <c r="G12" s="66" t="s">
        <v>0</v>
      </c>
      <c r="H12" s="67" t="s">
        <v>1</v>
      </c>
      <c r="I12" s="68" t="s">
        <v>2</v>
      </c>
      <c r="J12" s="69" t="s">
        <v>3</v>
      </c>
      <c r="K12" s="70" t="s">
        <v>4</v>
      </c>
      <c r="L12" s="68" t="s">
        <v>5</v>
      </c>
      <c r="M12" s="66" t="s">
        <v>6</v>
      </c>
      <c r="N12" s="67" t="s">
        <v>10</v>
      </c>
      <c r="O12" s="71" t="s">
        <v>11</v>
      </c>
      <c r="P12" s="72" t="s">
        <v>7</v>
      </c>
    </row>
    <row r="13" spans="6:16" ht="15">
      <c r="F13" s="73" t="s">
        <v>60</v>
      </c>
      <c r="G13" s="125">
        <v>160000</v>
      </c>
      <c r="H13" s="126"/>
      <c r="I13" s="127"/>
      <c r="J13" s="125"/>
      <c r="K13" s="126"/>
      <c r="L13" s="127"/>
      <c r="M13" s="125"/>
      <c r="N13" s="128"/>
      <c r="O13" s="126"/>
      <c r="P13" s="129">
        <f>SUM(G13:O13)</f>
        <v>160000</v>
      </c>
    </row>
    <row r="14" spans="6:16" ht="15">
      <c r="F14" s="73" t="s">
        <v>61</v>
      </c>
      <c r="G14" s="125">
        <v>15200</v>
      </c>
      <c r="H14" s="126"/>
      <c r="I14" s="127"/>
      <c r="J14" s="125"/>
      <c r="K14" s="126"/>
      <c r="L14" s="127"/>
      <c r="M14" s="125"/>
      <c r="N14" s="126"/>
      <c r="O14" s="130"/>
      <c r="P14" s="129">
        <f>SUM(G14:O14)</f>
        <v>15200</v>
      </c>
    </row>
    <row r="15" spans="6:16" ht="15">
      <c r="F15" s="73" t="s">
        <v>62</v>
      </c>
      <c r="G15" s="125">
        <v>3200</v>
      </c>
      <c r="H15" s="126"/>
      <c r="I15" s="127"/>
      <c r="J15" s="125"/>
      <c r="K15" s="126"/>
      <c r="L15" s="127"/>
      <c r="M15" s="125"/>
      <c r="N15" s="126"/>
      <c r="O15" s="130"/>
      <c r="P15" s="129">
        <f>SUM(G15:O15)</f>
        <v>3200</v>
      </c>
    </row>
    <row r="16" spans="6:16" ht="15">
      <c r="F16" s="145" t="s">
        <v>13</v>
      </c>
      <c r="G16" s="146">
        <f>SUM(G13:G15)</f>
        <v>178400</v>
      </c>
      <c r="H16" s="146">
        <f aca="true" t="shared" si="0" ref="H16:P16">SUM(H13:H15)</f>
        <v>0</v>
      </c>
      <c r="I16" s="147">
        <f t="shared" si="0"/>
        <v>0</v>
      </c>
      <c r="J16" s="146">
        <f t="shared" si="0"/>
        <v>0</v>
      </c>
      <c r="K16" s="146">
        <f t="shared" si="0"/>
        <v>0</v>
      </c>
      <c r="L16" s="147">
        <f t="shared" si="0"/>
        <v>0</v>
      </c>
      <c r="M16" s="146">
        <f t="shared" si="0"/>
        <v>0</v>
      </c>
      <c r="N16" s="146">
        <f t="shared" si="0"/>
        <v>0</v>
      </c>
      <c r="O16" s="148">
        <f t="shared" si="0"/>
        <v>0</v>
      </c>
      <c r="P16" s="149">
        <f t="shared" si="0"/>
        <v>178400</v>
      </c>
    </row>
    <row r="17" spans="6:16" s="78" customFormat="1" ht="14.25">
      <c r="F17" s="74" t="s">
        <v>15</v>
      </c>
      <c r="G17" s="75"/>
      <c r="H17" s="75"/>
      <c r="I17" s="76"/>
      <c r="J17" s="75"/>
      <c r="K17" s="75"/>
      <c r="L17" s="76"/>
      <c r="M17" s="75"/>
      <c r="N17" s="75"/>
      <c r="O17" s="75"/>
      <c r="P17" s="77"/>
    </row>
    <row r="18" spans="6:16" ht="15">
      <c r="F18" s="152" t="s">
        <v>14</v>
      </c>
      <c r="G18" s="131"/>
      <c r="H18" s="131"/>
      <c r="I18" s="132"/>
      <c r="J18" s="131"/>
      <c r="K18" s="131"/>
      <c r="L18" s="132"/>
      <c r="M18" s="131"/>
      <c r="N18" s="131"/>
      <c r="O18" s="131"/>
      <c r="P18" s="133"/>
    </row>
    <row r="19" spans="4:16" s="78" customFormat="1" ht="14.25">
      <c r="D19" s="87"/>
      <c r="F19" s="74" t="s">
        <v>16</v>
      </c>
      <c r="G19" s="83"/>
      <c r="H19" s="84"/>
      <c r="I19" s="85"/>
      <c r="J19" s="83"/>
      <c r="K19" s="84"/>
      <c r="L19" s="85"/>
      <c r="M19" s="83"/>
      <c r="N19" s="84"/>
      <c r="O19" s="86"/>
      <c r="P19" s="77"/>
    </row>
    <row r="20" spans="6:16" ht="15">
      <c r="F20" s="152" t="s">
        <v>17</v>
      </c>
      <c r="G20" s="80"/>
      <c r="H20" s="87"/>
      <c r="I20" s="81"/>
      <c r="J20" s="80"/>
      <c r="K20" s="87"/>
      <c r="L20" s="81"/>
      <c r="M20" s="131"/>
      <c r="N20" s="134"/>
      <c r="O20" s="137"/>
      <c r="P20" s="133"/>
    </row>
    <row r="21" spans="6:16" s="78" customFormat="1" ht="15">
      <c r="F21" s="74" t="s">
        <v>18</v>
      </c>
      <c r="G21" s="83"/>
      <c r="H21" s="84"/>
      <c r="I21" s="85"/>
      <c r="J21" s="83"/>
      <c r="K21" s="84"/>
      <c r="L21" s="85"/>
      <c r="M21" s="83"/>
      <c r="N21" s="84"/>
      <c r="O21" s="86"/>
      <c r="P21" s="90"/>
    </row>
    <row r="22" spans="6:16" ht="15">
      <c r="F22" s="152" t="s">
        <v>19</v>
      </c>
      <c r="G22" s="131"/>
      <c r="H22" s="134"/>
      <c r="I22" s="132"/>
      <c r="J22" s="131"/>
      <c r="K22" s="134"/>
      <c r="L22" s="132"/>
      <c r="M22" s="131"/>
      <c r="N22" s="134"/>
      <c r="O22" s="137"/>
      <c r="P22" s="133"/>
    </row>
    <row r="23" spans="6:16" ht="15">
      <c r="F23" s="79"/>
      <c r="G23" s="131"/>
      <c r="H23" s="134"/>
      <c r="I23" s="132"/>
      <c r="J23" s="131"/>
      <c r="K23" s="134"/>
      <c r="L23" s="132"/>
      <c r="M23" s="134"/>
      <c r="N23" s="136"/>
      <c r="O23" s="134"/>
      <c r="P23" s="133"/>
    </row>
    <row r="24" spans="6:16" s="59" customFormat="1" ht="15">
      <c r="F24" s="145" t="s">
        <v>67</v>
      </c>
      <c r="G24" s="148">
        <f>G16+G18+G23</f>
        <v>178400</v>
      </c>
      <c r="H24" s="150">
        <f>H16+H23</f>
        <v>0</v>
      </c>
      <c r="I24" s="147">
        <f>I16+I18+I23</f>
        <v>0</v>
      </c>
      <c r="J24" s="148">
        <f>J16+J18+J20+J22</f>
        <v>0</v>
      </c>
      <c r="K24" s="150">
        <f>K16+K18+K20+K22</f>
        <v>0</v>
      </c>
      <c r="L24" s="147">
        <f>L16+L18+L20+L22</f>
        <v>0</v>
      </c>
      <c r="M24" s="278">
        <f>M16+M18+N16+N18+O16+O18</f>
        <v>0</v>
      </c>
      <c r="N24" s="278"/>
      <c r="O24" s="278"/>
      <c r="P24" s="151">
        <f>SUM(G24:O24)</f>
        <v>178400</v>
      </c>
    </row>
    <row r="25" spans="6:16" s="59" customFormat="1" ht="15">
      <c r="F25" s="79" t="s">
        <v>22</v>
      </c>
      <c r="G25" s="153"/>
      <c r="H25" s="91"/>
      <c r="I25" s="92"/>
      <c r="J25" s="153"/>
      <c r="K25" s="91"/>
      <c r="L25" s="92"/>
      <c r="M25" s="97"/>
      <c r="N25" s="98"/>
      <c r="O25" s="99"/>
      <c r="P25" s="82"/>
    </row>
    <row r="26" spans="6:16" s="59" customFormat="1" ht="15">
      <c r="F26" s="79" t="s">
        <v>68</v>
      </c>
      <c r="G26" s="93"/>
      <c r="H26" s="94"/>
      <c r="I26" s="95"/>
      <c r="J26" s="93"/>
      <c r="K26" s="94"/>
      <c r="L26" s="95"/>
      <c r="M26" s="100"/>
      <c r="N26" s="98"/>
      <c r="O26" s="99"/>
      <c r="P26" s="82"/>
    </row>
    <row r="27" spans="6:16" ht="15.75" customHeight="1" thickBot="1">
      <c r="F27" s="72" t="s">
        <v>100</v>
      </c>
      <c r="G27" s="101"/>
      <c r="H27" s="102"/>
      <c r="I27" s="103"/>
      <c r="J27" s="154"/>
      <c r="K27" s="155"/>
      <c r="L27" s="156"/>
      <c r="M27" s="101"/>
      <c r="N27" s="102"/>
      <c r="O27" s="104"/>
      <c r="P27" s="72"/>
    </row>
    <row r="28" spans="6:16" ht="15">
      <c r="F28" s="87"/>
      <c r="G28" s="87"/>
      <c r="H28" s="87"/>
      <c r="I28" s="87"/>
      <c r="J28" s="98"/>
      <c r="K28" s="98"/>
      <c r="L28" s="98"/>
      <c r="M28" s="87"/>
      <c r="N28" s="87"/>
      <c r="O28" s="87"/>
      <c r="P28" s="98"/>
    </row>
    <row r="29" spans="6:16" ht="15">
      <c r="F29" s="274" t="s">
        <v>65</v>
      </c>
      <c r="G29" s="274"/>
      <c r="H29" s="274"/>
      <c r="I29" s="274"/>
      <c r="J29" s="274"/>
      <c r="K29" s="274"/>
      <c r="L29" s="274"/>
      <c r="M29" s="274"/>
      <c r="N29" s="274"/>
      <c r="O29" s="274"/>
      <c r="P29" s="98"/>
    </row>
    <row r="30" spans="6:16" ht="15">
      <c r="F30" s="274" t="s">
        <v>66</v>
      </c>
      <c r="G30" s="274"/>
      <c r="H30" s="274"/>
      <c r="I30" s="274"/>
      <c r="J30" s="274"/>
      <c r="K30" s="274"/>
      <c r="L30" s="274"/>
      <c r="M30" s="274"/>
      <c r="N30" s="274"/>
      <c r="O30" s="274"/>
      <c r="P30" s="98"/>
    </row>
    <row r="31" spans="6:15" ht="15">
      <c r="F31" s="274" t="s">
        <v>99</v>
      </c>
      <c r="G31" s="274"/>
      <c r="H31" s="274"/>
      <c r="I31" s="274"/>
      <c r="J31" s="274"/>
      <c r="K31" s="274"/>
      <c r="L31" s="274"/>
      <c r="M31" s="274"/>
      <c r="N31" s="274"/>
      <c r="O31" s="274"/>
    </row>
    <row r="32" spans="6:15" ht="25.5" customHeight="1">
      <c r="F32" s="105"/>
      <c r="G32" s="105"/>
      <c r="H32" s="105"/>
      <c r="I32" s="62"/>
      <c r="J32" s="62"/>
      <c r="K32" s="62"/>
      <c r="L32" s="62"/>
      <c r="M32" s="62"/>
      <c r="N32" s="62"/>
      <c r="O32" s="62"/>
    </row>
    <row r="33" spans="6:15" ht="25.5" customHeight="1">
      <c r="F33" s="267" t="s">
        <v>115</v>
      </c>
      <c r="G33" s="267"/>
      <c r="H33" s="268"/>
      <c r="I33" s="269"/>
      <c r="J33" s="62"/>
      <c r="K33" s="62"/>
      <c r="L33" s="62"/>
      <c r="M33" s="62"/>
      <c r="N33" s="62"/>
      <c r="O33" s="62"/>
    </row>
    <row r="34" spans="6:15" ht="25.5" customHeight="1" thickBot="1">
      <c r="F34" s="247"/>
      <c r="G34" s="247"/>
      <c r="H34" s="105"/>
      <c r="I34" s="62"/>
      <c r="J34" s="62"/>
      <c r="K34" s="62"/>
      <c r="L34" s="62"/>
      <c r="M34" s="62"/>
      <c r="N34" s="62"/>
      <c r="O34" s="62"/>
    </row>
    <row r="35" spans="6:12" s="59" customFormat="1" ht="15">
      <c r="F35" s="106"/>
      <c r="G35" s="279" t="s">
        <v>23</v>
      </c>
      <c r="H35" s="280"/>
      <c r="I35" s="281"/>
      <c r="J35" s="279" t="s">
        <v>24</v>
      </c>
      <c r="K35" s="280"/>
      <c r="L35" s="281"/>
    </row>
    <row r="36" spans="6:16" s="112" customFormat="1" ht="15.75" thickBot="1">
      <c r="F36" s="107"/>
      <c r="G36" s="108" t="s">
        <v>25</v>
      </c>
      <c r="H36" s="109" t="s">
        <v>26</v>
      </c>
      <c r="I36" s="110" t="s">
        <v>7</v>
      </c>
      <c r="J36" s="111" t="s">
        <v>25</v>
      </c>
      <c r="K36" s="109" t="s">
        <v>26</v>
      </c>
      <c r="L36" s="110" t="s">
        <v>7</v>
      </c>
      <c r="P36" s="113"/>
    </row>
    <row r="37" spans="6:12" ht="33.75" customHeight="1">
      <c r="F37" s="96" t="s">
        <v>27</v>
      </c>
      <c r="G37" s="135"/>
      <c r="H37" s="136"/>
      <c r="I37" s="138"/>
      <c r="J37" s="134"/>
      <c r="K37" s="136"/>
      <c r="L37" s="138"/>
    </row>
    <row r="38" spans="6:12" ht="30" thickBot="1">
      <c r="F38" s="96" t="s">
        <v>28</v>
      </c>
      <c r="G38" s="135"/>
      <c r="H38" s="246"/>
      <c r="I38" s="138"/>
      <c r="J38" s="134"/>
      <c r="K38" s="114"/>
      <c r="L38" s="138"/>
    </row>
    <row r="39" spans="6:12" s="59" customFormat="1" ht="30.75" thickBot="1">
      <c r="F39" s="157" t="s">
        <v>29</v>
      </c>
      <c r="G39" s="158"/>
      <c r="H39" s="159"/>
      <c r="I39" s="160"/>
      <c r="J39" s="161"/>
      <c r="K39" s="162"/>
      <c r="L39" s="160"/>
    </row>
    <row r="40" spans="1:15" s="59" customFormat="1" ht="29.25">
      <c r="A40" s="58"/>
      <c r="B40" s="58"/>
      <c r="C40" s="58"/>
      <c r="D40" s="58"/>
      <c r="E40" s="58"/>
      <c r="F40" s="96" t="s">
        <v>30</v>
      </c>
      <c r="G40" s="135"/>
      <c r="H40" s="89"/>
      <c r="I40" s="138"/>
      <c r="J40" s="134"/>
      <c r="K40" s="89"/>
      <c r="L40" s="138"/>
      <c r="M40" s="58"/>
      <c r="N40" s="58"/>
      <c r="O40" s="58"/>
    </row>
    <row r="41" spans="1:15" s="59" customFormat="1" ht="30" thickBot="1">
      <c r="A41" s="58"/>
      <c r="B41" s="58"/>
      <c r="C41" s="58"/>
      <c r="D41" s="58"/>
      <c r="E41" s="58"/>
      <c r="F41" s="96" t="s">
        <v>31</v>
      </c>
      <c r="G41" s="135"/>
      <c r="H41" s="246"/>
      <c r="I41" s="138"/>
      <c r="J41" s="134"/>
      <c r="K41" s="114"/>
      <c r="L41" s="138"/>
      <c r="M41" s="58"/>
      <c r="N41" s="58"/>
      <c r="O41" s="58"/>
    </row>
    <row r="42" spans="6:12" s="59" customFormat="1" ht="30.75" thickBot="1">
      <c r="F42" s="157" t="s">
        <v>32</v>
      </c>
      <c r="G42" s="158"/>
      <c r="H42" s="159"/>
      <c r="I42" s="160"/>
      <c r="J42" s="161"/>
      <c r="K42" s="162"/>
      <c r="L42" s="160"/>
    </row>
    <row r="43" spans="1:15" s="59" customFormat="1" ht="29.25">
      <c r="A43" s="58"/>
      <c r="B43" s="58"/>
      <c r="C43" s="58"/>
      <c r="D43" s="58"/>
      <c r="E43" s="58"/>
      <c r="F43" s="96" t="s">
        <v>33</v>
      </c>
      <c r="G43" s="135"/>
      <c r="H43" s="89"/>
      <c r="I43" s="138"/>
      <c r="J43" s="134"/>
      <c r="K43" s="89"/>
      <c r="L43" s="138"/>
      <c r="M43" s="58"/>
      <c r="N43" s="58"/>
      <c r="O43" s="58"/>
    </row>
    <row r="44" spans="1:15" s="59" customFormat="1" ht="30" thickBot="1">
      <c r="A44" s="58"/>
      <c r="B44" s="58"/>
      <c r="C44" s="58"/>
      <c r="D44" s="58"/>
      <c r="E44" s="58"/>
      <c r="F44" s="96" t="s">
        <v>34</v>
      </c>
      <c r="G44" s="135"/>
      <c r="H44" s="246"/>
      <c r="I44" s="138"/>
      <c r="J44" s="134"/>
      <c r="K44" s="114"/>
      <c r="L44" s="138"/>
      <c r="M44" s="58"/>
      <c r="N44" s="58"/>
      <c r="O44" s="58"/>
    </row>
    <row r="45" spans="1:12" s="59" customFormat="1" ht="30.75" thickBot="1">
      <c r="A45" s="58"/>
      <c r="B45" s="58"/>
      <c r="C45" s="58"/>
      <c r="D45" s="58"/>
      <c r="E45" s="58"/>
      <c r="F45" s="157" t="s">
        <v>35</v>
      </c>
      <c r="G45" s="163"/>
      <c r="H45" s="162"/>
      <c r="I45" s="160"/>
      <c r="J45" s="161"/>
      <c r="K45" s="162"/>
      <c r="L45" s="160"/>
    </row>
    <row r="46" spans="1:15" s="59" customFormat="1" ht="15">
      <c r="A46" s="58"/>
      <c r="B46" s="58"/>
      <c r="C46" s="58"/>
      <c r="D46" s="58"/>
      <c r="E46" s="58"/>
      <c r="F46" s="120" t="s">
        <v>36</v>
      </c>
      <c r="G46" s="139"/>
      <c r="H46" s="140"/>
      <c r="I46" s="141"/>
      <c r="J46" s="142"/>
      <c r="K46" s="143"/>
      <c r="L46" s="141"/>
      <c r="M46" s="58"/>
      <c r="N46" s="58"/>
      <c r="O46" s="58"/>
    </row>
    <row r="47" spans="1:15" s="59" customFormat="1" ht="30.75" customHeight="1">
      <c r="A47" s="58"/>
      <c r="B47" s="58"/>
      <c r="C47" s="58"/>
      <c r="D47" s="58"/>
      <c r="E47" s="58"/>
      <c r="F47" s="121" t="s">
        <v>70</v>
      </c>
      <c r="G47" s="88"/>
      <c r="H47" s="89"/>
      <c r="I47" s="122"/>
      <c r="J47" s="123"/>
      <c r="K47" s="124"/>
      <c r="L47" s="122"/>
      <c r="M47" s="58"/>
      <c r="N47" s="58"/>
      <c r="O47" s="58"/>
    </row>
    <row r="48" spans="1:15" s="59" customFormat="1" ht="30" thickBot="1">
      <c r="A48" s="58"/>
      <c r="B48" s="58"/>
      <c r="C48" s="58"/>
      <c r="D48" s="58"/>
      <c r="E48" s="58"/>
      <c r="F48" s="96" t="s">
        <v>38</v>
      </c>
      <c r="G48" s="88"/>
      <c r="H48" s="89"/>
      <c r="I48" s="138"/>
      <c r="J48" s="134"/>
      <c r="K48" s="144"/>
      <c r="L48" s="138"/>
      <c r="M48" s="58"/>
      <c r="N48" s="58"/>
      <c r="O48" s="58"/>
    </row>
    <row r="49" spans="1:12" s="59" customFormat="1" ht="15.75" thickBot="1">
      <c r="A49" s="58"/>
      <c r="B49" s="58"/>
      <c r="C49" s="58"/>
      <c r="D49" s="58"/>
      <c r="E49" s="58"/>
      <c r="F49" s="158" t="s">
        <v>37</v>
      </c>
      <c r="G49" s="158"/>
      <c r="H49" s="159"/>
      <c r="I49" s="160"/>
      <c r="J49" s="161"/>
      <c r="K49" s="162"/>
      <c r="L49" s="160"/>
    </row>
    <row r="50" spans="1:12" s="59" customFormat="1" ht="30.75" thickBot="1">
      <c r="A50" s="58"/>
      <c r="B50" s="58"/>
      <c r="C50" s="58"/>
      <c r="D50" s="58"/>
      <c r="E50" s="58"/>
      <c r="F50" s="115" t="s">
        <v>39</v>
      </c>
      <c r="G50" s="116"/>
      <c r="H50" s="117"/>
      <c r="I50" s="118"/>
      <c r="J50" s="119"/>
      <c r="K50" s="117"/>
      <c r="L50" s="118"/>
    </row>
    <row r="51" ht="13.5" thickBot="1"/>
    <row r="52" spans="1:15" s="59" customFormat="1" ht="15.75" thickBot="1">
      <c r="A52" s="58"/>
      <c r="B52" s="58"/>
      <c r="C52" s="58"/>
      <c r="D52" s="58"/>
      <c r="E52" s="58"/>
      <c r="F52" s="258" t="s">
        <v>40</v>
      </c>
      <c r="G52" s="258"/>
      <c r="H52" s="259"/>
      <c r="I52" s="260"/>
      <c r="J52" s="261"/>
      <c r="K52" s="259"/>
      <c r="L52" s="260"/>
      <c r="M52" s="58"/>
      <c r="N52" s="58"/>
      <c r="O52" s="58"/>
    </row>
    <row r="53" spans="1:12" s="59" customFormat="1" ht="15.75" thickBot="1">
      <c r="A53" s="58"/>
      <c r="B53" s="58"/>
      <c r="C53" s="58"/>
      <c r="D53" s="58"/>
      <c r="E53" s="58"/>
      <c r="F53" s="262" t="s">
        <v>41</v>
      </c>
      <c r="G53" s="262"/>
      <c r="H53" s="263"/>
      <c r="I53" s="264"/>
      <c r="J53" s="265"/>
      <c r="K53" s="263"/>
      <c r="L53" s="264"/>
    </row>
  </sheetData>
  <sheetProtection/>
  <mergeCells count="11">
    <mergeCell ref="F1:P1"/>
    <mergeCell ref="F9:O9"/>
    <mergeCell ref="G11:I11"/>
    <mergeCell ref="J11:L11"/>
    <mergeCell ref="M11:O11"/>
    <mergeCell ref="M24:O24"/>
    <mergeCell ref="G35:I35"/>
    <mergeCell ref="J35:L35"/>
    <mergeCell ref="F29:O29"/>
    <mergeCell ref="F30:O30"/>
    <mergeCell ref="F31:O31"/>
  </mergeCells>
  <printOptions/>
  <pageMargins left="0" right="0" top="0" bottom="0" header="0" footer="0"/>
  <pageSetup fitToHeight="1" fitToWidth="1" horizontalDpi="360" verticalDpi="360" orientation="portrait" paperSize="9" scale="43" r:id="rId1"/>
  <ignoredErrors>
    <ignoredError sqref="H24" formula="1"/>
  </ignoredErrors>
</worksheet>
</file>

<file path=xl/worksheets/sheet3.xml><?xml version="1.0" encoding="utf-8"?>
<worksheet xmlns="http://schemas.openxmlformats.org/spreadsheetml/2006/main" xmlns:r="http://schemas.openxmlformats.org/officeDocument/2006/relationships">
  <sheetPr>
    <pageSetUpPr fitToPage="1"/>
  </sheetPr>
  <dimension ref="G1:P68"/>
  <sheetViews>
    <sheetView showGridLines="0" view="pageBreakPreview" zoomScale="60" zoomScaleNormal="75" zoomScalePageLayoutView="0" workbookViewId="0" topLeftCell="F1">
      <selection activeCell="I16" sqref="I16"/>
    </sheetView>
  </sheetViews>
  <sheetFormatPr defaultColWidth="11.421875" defaultRowHeight="12.75"/>
  <cols>
    <col min="1" max="6" width="11.421875" style="21" customWidth="1"/>
    <col min="7" max="7" width="52.7109375" style="21" customWidth="1"/>
    <col min="8" max="8" width="39.8515625" style="21" customWidth="1"/>
    <col min="9" max="9" width="18.7109375" style="21" bestFit="1" customWidth="1"/>
    <col min="10" max="10" width="18.7109375" style="21" customWidth="1"/>
    <col min="11" max="11" width="19.7109375" style="21" customWidth="1"/>
    <col min="12" max="12" width="14.421875" style="21" bestFit="1" customWidth="1"/>
    <col min="13" max="13" width="13.00390625" style="21" bestFit="1" customWidth="1"/>
    <col min="14" max="16384" width="11.421875" style="21" customWidth="1"/>
  </cols>
  <sheetData>
    <row r="1" spans="7:14" ht="26.25">
      <c r="G1" s="170"/>
      <c r="H1" s="257" t="s">
        <v>52</v>
      </c>
      <c r="I1" s="171"/>
      <c r="J1" s="171"/>
      <c r="K1" s="170"/>
      <c r="L1" s="170"/>
      <c r="M1" s="170"/>
      <c r="N1" s="171"/>
    </row>
    <row r="3" spans="7:8" ht="20.25">
      <c r="G3" s="251" t="s">
        <v>81</v>
      </c>
      <c r="H3" s="266"/>
    </row>
    <row r="5" spans="7:16" ht="15">
      <c r="G5" s="303" t="s">
        <v>71</v>
      </c>
      <c r="H5" s="303"/>
      <c r="I5" s="303"/>
      <c r="J5" s="303"/>
      <c r="K5" s="303"/>
      <c r="L5" s="303"/>
      <c r="M5" s="303"/>
      <c r="N5" s="303"/>
      <c r="O5" s="303"/>
      <c r="P5" s="303"/>
    </row>
    <row r="7" spans="7:16" ht="15">
      <c r="G7" s="303" t="s">
        <v>72</v>
      </c>
      <c r="H7" s="303"/>
      <c r="I7" s="303"/>
      <c r="J7" s="303"/>
      <c r="K7" s="303"/>
      <c r="L7" s="303"/>
      <c r="M7" s="303"/>
      <c r="N7" s="303"/>
      <c r="O7" s="303"/>
      <c r="P7" s="303"/>
    </row>
    <row r="8" spans="7:16" ht="15">
      <c r="G8" s="313" t="s">
        <v>116</v>
      </c>
      <c r="H8" s="303"/>
      <c r="I8" s="303"/>
      <c r="J8" s="303"/>
      <c r="K8" s="303"/>
      <c r="L8" s="303"/>
      <c r="M8" s="303"/>
      <c r="N8" s="303"/>
      <c r="O8" s="303"/>
      <c r="P8" s="303"/>
    </row>
    <row r="10" ht="15.75" thickBot="1"/>
    <row r="11" spans="7:11" s="22" customFormat="1" ht="48" thickBot="1">
      <c r="G11" s="30" t="s">
        <v>73</v>
      </c>
      <c r="H11" s="31" t="s">
        <v>74</v>
      </c>
      <c r="I11" s="32" t="s">
        <v>42</v>
      </c>
      <c r="J11" s="33" t="s">
        <v>43</v>
      </c>
      <c r="K11" s="34" t="s">
        <v>51</v>
      </c>
    </row>
    <row r="12" spans="7:11" ht="15">
      <c r="G12" s="3" t="s">
        <v>44</v>
      </c>
      <c r="H12" s="23" t="s">
        <v>76</v>
      </c>
      <c r="I12" s="186"/>
      <c r="J12" s="178"/>
      <c r="K12" s="187">
        <f>I12/16</f>
        <v>0</v>
      </c>
    </row>
    <row r="13" spans="7:11" ht="15">
      <c r="G13" s="3"/>
      <c r="H13" s="23" t="s">
        <v>49</v>
      </c>
      <c r="I13" s="186"/>
      <c r="J13" s="178"/>
      <c r="K13" s="187">
        <f>I13/16</f>
        <v>0</v>
      </c>
    </row>
    <row r="14" spans="7:11" ht="15">
      <c r="G14" s="3"/>
      <c r="H14" s="23" t="s">
        <v>50</v>
      </c>
      <c r="I14" s="186"/>
      <c r="J14" s="178"/>
      <c r="K14" s="187">
        <f>I14/16</f>
        <v>0</v>
      </c>
    </row>
    <row r="15" spans="7:11" ht="15.75">
      <c r="G15" s="184" t="s">
        <v>78</v>
      </c>
      <c r="H15" s="185"/>
      <c r="I15" s="188">
        <f>SUM(I12:I14)</f>
        <v>0</v>
      </c>
      <c r="J15" s="189"/>
      <c r="K15" s="190"/>
    </row>
    <row r="16" spans="7:11" ht="30">
      <c r="G16" s="7" t="s">
        <v>79</v>
      </c>
      <c r="H16" s="23"/>
      <c r="I16" s="186"/>
      <c r="J16" s="178"/>
      <c r="K16" s="191"/>
    </row>
    <row r="17" spans="7:11" ht="15">
      <c r="G17" s="3"/>
      <c r="H17" s="23"/>
      <c r="I17" s="186"/>
      <c r="J17" s="178"/>
      <c r="K17" s="187"/>
    </row>
    <row r="18" spans="7:11" ht="15.75">
      <c r="G18" s="184" t="s">
        <v>78</v>
      </c>
      <c r="H18" s="185"/>
      <c r="I18" s="188">
        <f>SUM(I16:I17)</f>
        <v>0</v>
      </c>
      <c r="J18" s="189">
        <f>SUM(J16:J17)</f>
        <v>0</v>
      </c>
      <c r="K18" s="190"/>
    </row>
    <row r="19" spans="7:11" ht="15">
      <c r="G19" s="26" t="s">
        <v>45</v>
      </c>
      <c r="H19" s="27"/>
      <c r="I19" s="192"/>
      <c r="J19" s="193"/>
      <c r="K19" s="194"/>
    </row>
    <row r="20" spans="7:11" ht="30">
      <c r="G20" s="29" t="s">
        <v>46</v>
      </c>
      <c r="H20" s="28"/>
      <c r="I20" s="192"/>
      <c r="J20" s="193"/>
      <c r="K20" s="194"/>
    </row>
    <row r="21" spans="7:11" ht="15">
      <c r="G21" s="26" t="s">
        <v>75</v>
      </c>
      <c r="H21" s="28"/>
      <c r="I21" s="192"/>
      <c r="J21" s="193"/>
      <c r="K21" s="194"/>
    </row>
    <row r="22" spans="7:11" ht="15">
      <c r="G22" s="3" t="s">
        <v>47</v>
      </c>
      <c r="H22" s="23"/>
      <c r="I22" s="186"/>
      <c r="J22" s="178"/>
      <c r="K22" s="187"/>
    </row>
    <row r="23" spans="7:11" ht="15">
      <c r="G23" s="3"/>
      <c r="H23" s="23"/>
      <c r="I23" s="186"/>
      <c r="J23" s="178"/>
      <c r="K23" s="187"/>
    </row>
    <row r="24" spans="7:11" ht="15.75">
      <c r="G24" s="184" t="s">
        <v>78</v>
      </c>
      <c r="H24" s="185"/>
      <c r="I24" s="188">
        <f>SUM(I22:I23)</f>
        <v>0</v>
      </c>
      <c r="J24" s="189"/>
      <c r="K24" s="199"/>
    </row>
    <row r="25" spans="7:11" ht="15">
      <c r="G25" s="24" t="s">
        <v>48</v>
      </c>
      <c r="H25" s="25"/>
      <c r="I25" s="195"/>
      <c r="J25" s="196"/>
      <c r="K25" s="197"/>
    </row>
    <row r="26" spans="7:11" ht="15">
      <c r="G26" s="314" t="s">
        <v>86</v>
      </c>
      <c r="H26" s="200"/>
      <c r="I26" s="201"/>
      <c r="J26" s="202"/>
      <c r="K26" s="191"/>
    </row>
    <row r="27" spans="7:11" ht="15.75" thickBot="1">
      <c r="G27" s="315"/>
      <c r="H27" s="203"/>
      <c r="I27" s="204"/>
      <c r="J27" s="181"/>
      <c r="K27" s="198"/>
    </row>
    <row r="28" spans="7:11" ht="15">
      <c r="G28" s="248"/>
      <c r="H28" s="249"/>
      <c r="I28" s="250"/>
      <c r="J28" s="186"/>
      <c r="K28" s="186"/>
    </row>
    <row r="29" spans="7:11" ht="15">
      <c r="G29" s="248"/>
      <c r="H29" s="249"/>
      <c r="I29" s="250"/>
      <c r="J29" s="186"/>
      <c r="K29" s="186"/>
    </row>
    <row r="30" spans="7:11" ht="15">
      <c r="G30" s="248"/>
      <c r="H30" s="249"/>
      <c r="I30" s="250"/>
      <c r="J30" s="186"/>
      <c r="K30" s="186"/>
    </row>
    <row r="31" spans="7:15" ht="15">
      <c r="G31" s="303" t="s">
        <v>77</v>
      </c>
      <c r="H31" s="303"/>
      <c r="I31" s="303"/>
      <c r="J31" s="303"/>
      <c r="K31" s="303"/>
      <c r="L31" s="303"/>
      <c r="M31" s="303"/>
      <c r="N31" s="303"/>
      <c r="O31" s="303"/>
    </row>
    <row r="32" spans="7:15" ht="15">
      <c r="G32" s="303" t="s">
        <v>80</v>
      </c>
      <c r="H32" s="303"/>
      <c r="I32" s="303"/>
      <c r="J32" s="303"/>
      <c r="K32" s="303"/>
      <c r="L32" s="303"/>
      <c r="M32" s="303"/>
      <c r="N32" s="303"/>
      <c r="O32" s="303"/>
    </row>
    <row r="34" spans="7:8" ht="20.25">
      <c r="G34" s="251" t="s">
        <v>82</v>
      </c>
      <c r="H34" s="266"/>
    </row>
    <row r="35" ht="20.25">
      <c r="G35" s="35"/>
    </row>
    <row r="36" spans="7:15" ht="33" customHeight="1">
      <c r="G36" s="291" t="s">
        <v>87</v>
      </c>
      <c r="H36" s="291"/>
      <c r="I36" s="291"/>
      <c r="J36" s="291"/>
      <c r="K36" s="291"/>
      <c r="L36" s="291"/>
      <c r="M36" s="291"/>
      <c r="N36" s="291"/>
      <c r="O36" s="291"/>
    </row>
    <row r="37" ht="15.75" thickBot="1"/>
    <row r="38" spans="7:13" ht="15.75">
      <c r="G38" s="13"/>
      <c r="H38" s="304" t="s">
        <v>23</v>
      </c>
      <c r="I38" s="305"/>
      <c r="J38" s="306"/>
      <c r="K38" s="304" t="s">
        <v>24</v>
      </c>
      <c r="L38" s="305"/>
      <c r="M38" s="306"/>
    </row>
    <row r="39" spans="7:13" ht="30.75" thickBot="1">
      <c r="G39" s="14"/>
      <c r="H39" s="256" t="s">
        <v>113</v>
      </c>
      <c r="I39" s="11" t="s">
        <v>84</v>
      </c>
      <c r="J39" s="12" t="s">
        <v>85</v>
      </c>
      <c r="K39" s="256" t="s">
        <v>113</v>
      </c>
      <c r="L39" s="11" t="s">
        <v>84</v>
      </c>
      <c r="M39" s="12" t="s">
        <v>85</v>
      </c>
    </row>
    <row r="40" spans="7:13" ht="15">
      <c r="G40" s="311" t="s">
        <v>91</v>
      </c>
      <c r="H40" s="183"/>
      <c r="I40" s="49"/>
      <c r="J40" s="50"/>
      <c r="K40" s="183"/>
      <c r="L40" s="49"/>
      <c r="M40" s="50"/>
    </row>
    <row r="41" spans="7:13" ht="15.75" thickBot="1">
      <c r="G41" s="312"/>
      <c r="H41" s="173"/>
      <c r="I41" s="4"/>
      <c r="J41" s="2"/>
      <c r="K41" s="173"/>
      <c r="L41" s="4"/>
      <c r="M41" s="2"/>
    </row>
    <row r="42" spans="7:13" ht="15">
      <c r="G42" s="307" t="s">
        <v>83</v>
      </c>
      <c r="H42" s="309"/>
      <c r="I42" s="292"/>
      <c r="J42" s="294"/>
      <c r="K42" s="309"/>
      <c r="L42" s="292"/>
      <c r="M42" s="294"/>
    </row>
    <row r="43" spans="7:13" ht="15.75" thickBot="1">
      <c r="G43" s="308"/>
      <c r="H43" s="310"/>
      <c r="I43" s="293"/>
      <c r="J43" s="295"/>
      <c r="K43" s="310"/>
      <c r="L43" s="293"/>
      <c r="M43" s="295"/>
    </row>
    <row r="44" spans="7:13" ht="15.75">
      <c r="G44" s="36"/>
      <c r="H44" s="252"/>
      <c r="I44" s="38"/>
      <c r="J44" s="39"/>
      <c r="K44" s="172"/>
      <c r="L44" s="177"/>
      <c r="M44" s="39"/>
    </row>
    <row r="45" spans="7:13" ht="15">
      <c r="G45" s="3" t="s">
        <v>44</v>
      </c>
      <c r="H45" s="253"/>
      <c r="I45" s="4"/>
      <c r="J45" s="2"/>
      <c r="K45" s="173"/>
      <c r="L45" s="178"/>
      <c r="M45" s="2"/>
    </row>
    <row r="46" spans="7:13" ht="30">
      <c r="G46" s="7" t="s">
        <v>79</v>
      </c>
      <c r="H46" s="253"/>
      <c r="I46" s="10"/>
      <c r="J46" s="2"/>
      <c r="K46" s="173"/>
      <c r="L46" s="179"/>
      <c r="M46" s="2"/>
    </row>
    <row r="47" spans="7:13" ht="15">
      <c r="G47" s="1" t="s">
        <v>45</v>
      </c>
      <c r="H47" s="253"/>
      <c r="I47" s="41"/>
      <c r="J47" s="2"/>
      <c r="K47" s="174"/>
      <c r="L47" s="180"/>
      <c r="M47" s="2"/>
    </row>
    <row r="48" spans="7:13" ht="30">
      <c r="G48" s="40" t="s">
        <v>46</v>
      </c>
      <c r="H48" s="253"/>
      <c r="I48" s="4"/>
      <c r="J48" s="2"/>
      <c r="K48" s="173"/>
      <c r="L48" s="178"/>
      <c r="M48" s="2"/>
    </row>
    <row r="49" spans="7:13" ht="15">
      <c r="G49" s="1" t="s">
        <v>75</v>
      </c>
      <c r="H49" s="253"/>
      <c r="I49" s="10"/>
      <c r="J49" s="2"/>
      <c r="K49" s="173"/>
      <c r="L49" s="179"/>
      <c r="M49" s="2"/>
    </row>
    <row r="50" spans="7:13" ht="15">
      <c r="G50" s="1" t="s">
        <v>47</v>
      </c>
      <c r="H50" s="253"/>
      <c r="I50" s="41"/>
      <c r="J50" s="2"/>
      <c r="K50" s="174"/>
      <c r="L50" s="180"/>
      <c r="M50" s="2"/>
    </row>
    <row r="51" spans="7:13" ht="15">
      <c r="G51" s="1" t="s">
        <v>48</v>
      </c>
      <c r="H51" s="253"/>
      <c r="I51" s="41"/>
      <c r="J51" s="2"/>
      <c r="K51" s="174"/>
      <c r="L51" s="180"/>
      <c r="M51" s="2"/>
    </row>
    <row r="52" spans="7:13" ht="15">
      <c r="G52" s="15"/>
      <c r="H52" s="253"/>
      <c r="I52" s="4"/>
      <c r="J52" s="16"/>
      <c r="K52" s="173"/>
      <c r="L52" s="178"/>
      <c r="M52" s="16"/>
    </row>
    <row r="53" spans="7:13" ht="15.75" thickBot="1">
      <c r="G53" s="37"/>
      <c r="H53" s="254"/>
      <c r="I53" s="6"/>
      <c r="J53" s="5"/>
      <c r="K53" s="175"/>
      <c r="L53" s="181"/>
      <c r="M53" s="5"/>
    </row>
    <row r="54" spans="7:13" ht="16.5" thickBot="1">
      <c r="G54" s="9" t="s">
        <v>88</v>
      </c>
      <c r="H54" s="255">
        <f>SUM(H42:H51)</f>
        <v>0</v>
      </c>
      <c r="I54" s="176">
        <f>SUM(I42:I51)</f>
        <v>0</v>
      </c>
      <c r="J54" s="9"/>
      <c r="K54" s="176"/>
      <c r="L54" s="176"/>
      <c r="M54" s="42"/>
    </row>
    <row r="55" spans="7:13" ht="16.5" thickBot="1">
      <c r="G55" s="205" t="s">
        <v>89</v>
      </c>
      <c r="H55" s="296"/>
      <c r="I55" s="297"/>
      <c r="J55" s="297"/>
      <c r="K55" s="297"/>
      <c r="L55" s="297"/>
      <c r="M55" s="298"/>
    </row>
    <row r="56" spans="7:13" ht="16.5" thickBot="1">
      <c r="G56" s="205" t="s">
        <v>90</v>
      </c>
      <c r="H56" s="296"/>
      <c r="I56" s="297"/>
      <c r="J56" s="297"/>
      <c r="K56" s="297"/>
      <c r="L56" s="297"/>
      <c r="M56" s="298"/>
    </row>
    <row r="57" spans="7:13" ht="15.75" thickBot="1">
      <c r="G57" s="272" t="s">
        <v>96</v>
      </c>
      <c r="H57" s="44"/>
      <c r="I57" s="45"/>
      <c r="J57" s="46"/>
      <c r="K57" s="44"/>
      <c r="L57" s="45"/>
      <c r="M57" s="46"/>
    </row>
    <row r="58" spans="7:13" ht="15.75" thickBot="1">
      <c r="G58" s="43" t="s">
        <v>86</v>
      </c>
      <c r="H58" s="182"/>
      <c r="I58" s="47"/>
      <c r="J58" s="48"/>
      <c r="K58" s="182"/>
      <c r="L58" s="47"/>
      <c r="M58" s="48"/>
    </row>
    <row r="59" spans="7:13" ht="15.75">
      <c r="G59" s="299" t="s">
        <v>93</v>
      </c>
      <c r="H59" s="17"/>
      <c r="I59" s="18"/>
      <c r="J59" s="301"/>
      <c r="K59" s="51"/>
      <c r="L59" s="52"/>
      <c r="M59" s="301"/>
    </row>
    <row r="60" spans="7:13" ht="16.5" thickBot="1">
      <c r="G60" s="300"/>
      <c r="H60" s="19"/>
      <c r="I60" s="20"/>
      <c r="J60" s="302"/>
      <c r="K60" s="53"/>
      <c r="L60" s="54"/>
      <c r="M60" s="302"/>
    </row>
    <row r="62" spans="7:15" ht="37.5" customHeight="1">
      <c r="G62" s="291"/>
      <c r="H62" s="291"/>
      <c r="I62" s="291"/>
      <c r="J62" s="291"/>
      <c r="K62" s="291"/>
      <c r="L62" s="291"/>
      <c r="M62" s="291"/>
      <c r="N62" s="291"/>
      <c r="O62" s="291"/>
    </row>
    <row r="63" ht="15.75" thickBot="1"/>
    <row r="64" spans="8:10" ht="16.5" thickBot="1">
      <c r="H64" s="30"/>
      <c r="I64" s="55" t="s">
        <v>23</v>
      </c>
      <c r="J64" s="34" t="s">
        <v>24</v>
      </c>
    </row>
    <row r="65" spans="8:10" ht="15">
      <c r="H65" s="3" t="s">
        <v>92</v>
      </c>
      <c r="I65" s="23"/>
      <c r="J65" s="8"/>
    </row>
    <row r="66" spans="8:10" ht="15">
      <c r="H66" s="3" t="s">
        <v>94</v>
      </c>
      <c r="I66" s="23"/>
      <c r="J66" s="8"/>
    </row>
    <row r="67" spans="8:10" ht="15.75" thickBot="1">
      <c r="H67" s="56" t="s">
        <v>95</v>
      </c>
      <c r="I67" s="57"/>
      <c r="J67" s="57"/>
    </row>
    <row r="68" spans="9:10" ht="15">
      <c r="I68" s="206"/>
      <c r="J68" s="206"/>
    </row>
  </sheetData>
  <sheetProtection/>
  <mergeCells count="23">
    <mergeCell ref="G5:P5"/>
    <mergeCell ref="G7:P7"/>
    <mergeCell ref="G8:P8"/>
    <mergeCell ref="G26:G27"/>
    <mergeCell ref="G31:O31"/>
    <mergeCell ref="G32:O32"/>
    <mergeCell ref="G36:O36"/>
    <mergeCell ref="H38:J38"/>
    <mergeCell ref="K38:M38"/>
    <mergeCell ref="G42:G43"/>
    <mergeCell ref="H42:H43"/>
    <mergeCell ref="I42:I43"/>
    <mergeCell ref="J42:J43"/>
    <mergeCell ref="K42:K43"/>
    <mergeCell ref="G40:G41"/>
    <mergeCell ref="G62:O62"/>
    <mergeCell ref="L42:L43"/>
    <mergeCell ref="M42:M43"/>
    <mergeCell ref="H55:M55"/>
    <mergeCell ref="H56:M56"/>
    <mergeCell ref="G59:G60"/>
    <mergeCell ref="J59:J60"/>
    <mergeCell ref="M59:M60"/>
  </mergeCells>
  <printOptions/>
  <pageMargins left="0" right="0" top="0" bottom="0" header="0" footer="0"/>
  <pageSetup fitToHeight="1" fitToWidth="1" horizontalDpi="360" verticalDpi="360" orientation="portrait"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Hélios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scilien</cp:lastModifiedBy>
  <cp:lastPrinted>2007-10-15T16:55:57Z</cp:lastPrinted>
  <dcterms:created xsi:type="dcterms:W3CDTF">2002-11-28T18:56:33Z</dcterms:created>
  <dcterms:modified xsi:type="dcterms:W3CDTF">2010-09-25T00:02:00Z</dcterms:modified>
  <cp:category/>
  <cp:version/>
  <cp:contentType/>
  <cp:contentStatus/>
</cp:coreProperties>
</file>